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xl/tables/table65.xml" ContentType="application/vnd.openxmlformats-officedocument.spreadsheetml.table+xml"/>
  <Override PartName="/xl/tables/table66.xml" ContentType="application/vnd.openxmlformats-officedocument.spreadsheetml.table+xml"/>
  <Override PartName="/xl/tables/table67.xml" ContentType="application/vnd.openxmlformats-officedocument.spreadsheetml.table+xml"/>
  <Override PartName="/xl/tables/table68.xml" ContentType="application/vnd.openxmlformats-officedocument.spreadsheetml.table+xml"/>
  <Override PartName="/xl/tables/table69.xml" ContentType="application/vnd.openxmlformats-officedocument.spreadsheetml.table+xml"/>
  <Override PartName="/xl/tables/table70.xml" ContentType="application/vnd.openxmlformats-officedocument.spreadsheetml.table+xml"/>
  <Override PartName="/xl/tables/table71.xml" ContentType="application/vnd.openxmlformats-officedocument.spreadsheetml.table+xml"/>
  <Override PartName="/xl/tables/table72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updateLinks="always" defaultThemeVersion="124226"/>
  <bookViews>
    <workbookView xWindow="0" yWindow="0" windowWidth="28800" windowHeight="11700" tabRatio="876" firstSheet="15" activeTab="15"/>
  </bookViews>
  <sheets>
    <sheet name="Nyitó kérelem összesítő" sheetId="57" state="hidden" r:id="rId1"/>
    <sheet name="Nyitó elszámolás összesítő" sheetId="47" state="hidden" r:id="rId2"/>
    <sheet name="Szakmai_oktatás_1" sheetId="44" state="hidden" r:id="rId3"/>
    <sheet name="Szakmai_képzés_1" sheetId="48" state="hidden" r:id="rId4"/>
    <sheet name="Egyéb_képzés_1" sheetId="56" state="hidden" r:id="rId5"/>
    <sheet name="Felnőttokt._Szakk.+Egyéb_képz_1" sheetId="2" state="hidden" r:id="rId6"/>
    <sheet name="Kedvezményezettek adatai" sheetId="46" state="hidden" r:id="rId7"/>
    <sheet name="Háttértáblák" sheetId="45" state="hidden" r:id="rId8"/>
    <sheet name="Szakmajegyzék 2021.I.1-" sheetId="60" state="hidden" r:id="rId9"/>
    <sheet name="Szakmajegyzék 2021.09.01-től" sheetId="72" state="hidden" r:id="rId10"/>
    <sheet name="Szakképesítések 21.01.08. PK-k" sheetId="64" state="hidden" r:id="rId11"/>
    <sheet name="Szakképesítések 21.08.02. PK-k" sheetId="73" state="hidden" r:id="rId12"/>
    <sheet name="Szakmaszorzók" sheetId="58" state="hidden" r:id="rId13"/>
    <sheet name="Támogatás szorzat tényezői" sheetId="61" state="hidden" r:id="rId14"/>
    <sheet name="Záró elszámolás összesítő" sheetId="69" state="hidden" r:id="rId15"/>
    <sheet name="Felnőttokt._Szakk.+Egyéb_képz_2" sheetId="68" r:id="rId16"/>
  </sheets>
  <definedNames>
    <definedName name="_xlnm._FilterDatabase" localSheetId="4" hidden="1">Egyéb_képzés_1!$B$3:$K$3</definedName>
    <definedName name="_xlnm._FilterDatabase" localSheetId="5" hidden="1">'Felnőttokt._Szakk.+Egyéb_képz_1'!$A$3:$Q$3</definedName>
    <definedName name="_xlnm._FilterDatabase" localSheetId="15" hidden="1">'Felnőttokt._Szakk.+Egyéb_képz_2'!$A$3:$Q$3</definedName>
    <definedName name="_xlnm._FilterDatabase" localSheetId="7" hidden="1">Háttértáblák!$F$1:$G$1</definedName>
    <definedName name="_xlnm._FilterDatabase" localSheetId="10" hidden="1">'Szakképesítések 21.01.08. PK-k'!$A$1:$M$364</definedName>
    <definedName name="_xlnm._FilterDatabase" localSheetId="11" hidden="1">'Szakképesítések 21.08.02. PK-k'!$A$1:$M$429</definedName>
    <definedName name="_xlnm._FilterDatabase" localSheetId="3" hidden="1">Szakmai_képzés_1!$A$3:$AE$3</definedName>
    <definedName name="_xlnm._FilterDatabase" localSheetId="2" hidden="1">Szakmai_oktatás_1!$A$3:$V$3</definedName>
    <definedName name="_xlnm._FilterDatabase" localSheetId="9" hidden="1">'Szakmajegyzék 2021.09.01-től'!$A$6:$R$183</definedName>
    <definedName name="_xlnm._FilterDatabase" localSheetId="8" hidden="1">'Szakmajegyzék 2021.I.1-'!$A$6:$R$181</definedName>
    <definedName name="_ftn1" localSheetId="9">'Szakmajegyzék 2021.09.01-től'!$A$186</definedName>
    <definedName name="_ftn10" localSheetId="9">'Szakmajegyzék 2021.09.01-től'!$A$195</definedName>
    <definedName name="_ftn11" localSheetId="9">'Szakmajegyzék 2021.09.01-től'!$A$196</definedName>
    <definedName name="_ftn12" localSheetId="9">'Szakmajegyzék 2021.09.01-től'!$A$197</definedName>
    <definedName name="_ftn13" localSheetId="9">'Szakmajegyzék 2021.09.01-től'!$A$198</definedName>
    <definedName name="_ftn14" localSheetId="9">'Szakmajegyzék 2021.09.01-től'!$A$199</definedName>
    <definedName name="_ftn15" localSheetId="9">'Szakmajegyzék 2021.09.01-től'!$A$200</definedName>
    <definedName name="_ftn16" localSheetId="9">'Szakmajegyzék 2021.09.01-től'!$A$201</definedName>
    <definedName name="_ftn17" localSheetId="9">'Szakmajegyzék 2021.09.01-től'!$A$202</definedName>
    <definedName name="_ftn18" localSheetId="9">'Szakmajegyzék 2021.09.01-től'!$A$203</definedName>
    <definedName name="_ftn19" localSheetId="9">'Szakmajegyzék 2021.09.01-től'!$A$204</definedName>
    <definedName name="_ftn2" localSheetId="9">'Szakmajegyzék 2021.09.01-től'!$A$187</definedName>
    <definedName name="_ftn20" localSheetId="9">'Szakmajegyzék 2021.09.01-től'!$A$205</definedName>
    <definedName name="_ftn21" localSheetId="9">'Szakmajegyzék 2021.09.01-től'!$A$206</definedName>
    <definedName name="_ftn22" localSheetId="9">'Szakmajegyzék 2021.09.01-től'!$A$207</definedName>
    <definedName name="_ftn23" localSheetId="9">'Szakmajegyzék 2021.09.01-től'!$A$208</definedName>
    <definedName name="_ftn24" localSheetId="9">'Szakmajegyzék 2021.09.01-től'!$A$209</definedName>
    <definedName name="_ftn25" localSheetId="9">'Szakmajegyzék 2021.09.01-től'!$A$210</definedName>
    <definedName name="_ftn26" localSheetId="9">'Szakmajegyzék 2021.09.01-től'!$A$211</definedName>
    <definedName name="_ftn27" localSheetId="9">'Szakmajegyzék 2021.09.01-től'!$A$212</definedName>
    <definedName name="_ftn28" localSheetId="9">'Szakmajegyzék 2021.09.01-től'!$A$213</definedName>
    <definedName name="_ftn29" localSheetId="9">'Szakmajegyzék 2021.09.01-től'!$A$214</definedName>
    <definedName name="_ftn3" localSheetId="9">'Szakmajegyzék 2021.09.01-től'!$A$188</definedName>
    <definedName name="_ftn30" localSheetId="9">'Szakmajegyzék 2021.09.01-től'!$A$215</definedName>
    <definedName name="_ftn31" localSheetId="9">'Szakmajegyzék 2021.09.01-től'!$A$216</definedName>
    <definedName name="_ftn32" localSheetId="9">'Szakmajegyzék 2021.09.01-től'!$A$217</definedName>
    <definedName name="_ftn33" localSheetId="9">'Szakmajegyzék 2021.09.01-től'!$A$218</definedName>
    <definedName name="_ftn4" localSheetId="9">'Szakmajegyzék 2021.09.01-től'!$A$189</definedName>
    <definedName name="_ftn5" localSheetId="9">'Szakmajegyzék 2021.09.01-től'!$A$190</definedName>
    <definedName name="_ftn6" localSheetId="9">'Szakmajegyzék 2021.09.01-től'!$A$191</definedName>
    <definedName name="_ftn7" localSheetId="9">'Szakmajegyzék 2021.09.01-től'!$A$192</definedName>
    <definedName name="_ftn8" localSheetId="9">'Szakmajegyzék 2021.09.01-től'!$A$193</definedName>
    <definedName name="_ftn9" localSheetId="9">'Szakmajegyzék 2021.09.01-től'!$A$194</definedName>
    <definedName name="_ftnref1" localSheetId="9">'Szakmajegyzék 2021.09.01-től'!$A$17</definedName>
    <definedName name="_ftnref10" localSheetId="9">'Szakmajegyzék 2021.09.01-től'!$A$107</definedName>
    <definedName name="_ftnref11" localSheetId="9">'Szakmajegyzék 2021.09.01-től'!$A$108</definedName>
    <definedName name="_ftnref12" localSheetId="9">'Szakmajegyzék 2021.09.01-től'!$A$109</definedName>
    <definedName name="_ftnref13" localSheetId="9">'Szakmajegyzék 2021.09.01-től'!$A$110</definedName>
    <definedName name="_ftnref14" localSheetId="9">'Szakmajegyzék 2021.09.01-től'!$A$111</definedName>
    <definedName name="_ftnref15" localSheetId="9">'Szakmajegyzék 2021.09.01-től'!$A$112</definedName>
    <definedName name="_ftnref16" localSheetId="9">'Szakmajegyzék 2021.09.01-től'!$A$113</definedName>
    <definedName name="_ftnref17" localSheetId="9">'Szakmajegyzék 2021.09.01-től'!$A$114</definedName>
    <definedName name="_ftnref18" localSheetId="9">'Szakmajegyzék 2021.09.01-től'!$A$115</definedName>
    <definedName name="_ftnref19" localSheetId="9">'Szakmajegyzék 2021.09.01-től'!$A$116</definedName>
    <definedName name="_ftnref2" localSheetId="9">'Szakmajegyzék 2021.09.01-től'!$A$18</definedName>
    <definedName name="_ftnref20" localSheetId="9">'Szakmajegyzék 2021.09.01-től'!$A$117</definedName>
    <definedName name="_ftnref21" localSheetId="9">'Szakmajegyzék 2021.09.01-től'!$A$118</definedName>
    <definedName name="_ftnref22" localSheetId="9">'Szakmajegyzék 2021.09.01-től'!$A$119</definedName>
    <definedName name="_ftnref23" localSheetId="9">'Szakmajegyzék 2021.09.01-től'!$A$120</definedName>
    <definedName name="_ftnref24" localSheetId="9">'Szakmajegyzék 2021.09.01-től'!$A$121</definedName>
    <definedName name="_ftnref25" localSheetId="9">'Szakmajegyzék 2021.09.01-től'!$A$122</definedName>
    <definedName name="_ftnref26" localSheetId="9">'Szakmajegyzék 2021.09.01-től'!$A$123</definedName>
    <definedName name="_ftnref27" localSheetId="9">'Szakmajegyzék 2021.09.01-től'!$A$124</definedName>
    <definedName name="_ftnref28" localSheetId="9">'Szakmajegyzék 2021.09.01-től'!$A$125</definedName>
    <definedName name="_ftnref29" localSheetId="9">'Szakmajegyzék 2021.09.01-től'!$A$126</definedName>
    <definedName name="_ftnref3" localSheetId="9">'Szakmajegyzék 2021.09.01-től'!$A$20</definedName>
    <definedName name="_ftnref30" localSheetId="9">'Szakmajegyzék 2021.09.01-től'!$A$127</definedName>
    <definedName name="_ftnref31" localSheetId="9">'Szakmajegyzék 2021.09.01-től'!$A$128</definedName>
    <definedName name="_ftnref32" localSheetId="9">'Szakmajegyzék 2021.09.01-től'!$A$138</definedName>
    <definedName name="_ftnref33" localSheetId="9">'Szakmajegyzék 2021.09.01-től'!$A$148</definedName>
    <definedName name="_ftnref4" localSheetId="9">'Szakmajegyzék 2021.09.01-től'!$A$22</definedName>
    <definedName name="_ftnref5" localSheetId="9">'Szakmajegyzék 2021.09.01-től'!$A$23</definedName>
    <definedName name="_ftnref6" localSheetId="9">'Szakmajegyzék 2021.09.01-től'!$A$24</definedName>
    <definedName name="_ftnref7" localSheetId="9">'Szakmajegyzék 2021.09.01-től'!$A$25</definedName>
    <definedName name="_ftnref8" localSheetId="9">'Szakmajegyzék 2021.09.01-től'!$A$27</definedName>
    <definedName name="_ftnref9" localSheetId="9">'Szakmajegyzék 2021.09.01-től'!$A$53</definedName>
    <definedName name="_xlnm.Print_Titles" localSheetId="4">Egyéb_képzés_1!$3:$3</definedName>
    <definedName name="_xlnm.Print_Titles" localSheetId="5">'Felnőttokt._Szakk.+Egyéb_képz_1'!$3:$3</definedName>
    <definedName name="_xlnm.Print_Titles" localSheetId="15">'Felnőttokt._Szakk.+Egyéb_képz_2'!$3:$3</definedName>
    <definedName name="_xlnm.Print_Titles" localSheetId="2">Szakmai_oktatás_1!$3:$3</definedName>
    <definedName name="_xlnm.Print_Area" localSheetId="1">'Nyitó elszámolás összesítő'!$A$1:$T$35</definedName>
    <definedName name="_xlnm.Print_Area" localSheetId="0">'Nyitó kérelem összesítő'!$A$1:$R$34</definedName>
    <definedName name="_xlnm.Print_Area" localSheetId="8">'Szakmajegyzék 2021.I.1-'!$A$1:$P$182</definedName>
    <definedName name="_xlnm.Print_Area" localSheetId="14">'Záró elszámolás összesítő'!$A$1:$V$37</definedName>
    <definedName name="Z_25893757_56B2_4736_9922_0B197AEC1816_.wvu.FilterData" localSheetId="11" hidden="1">'Szakképesítések 21.08.02. PK-k'!$B$1:$L$429</definedName>
    <definedName name="Z_31188FA2_67E1_443C_A02B_BA6DD6D3C12B_.wvu.FilterData" localSheetId="11" hidden="1">'Szakképesítések 21.08.02. PK-k'!$B$1:$L$429</definedName>
    <definedName name="Z_3EE2B10E_100E_4641_BB8B_2F6E3F827BF3_.wvu.FilterData" localSheetId="11" hidden="1">'Szakképesítések 21.08.02. PK-k'!$B$1:$L$429</definedName>
    <definedName name="Z_52E7CAE8_D491_4F7C_9C90_BCE16466F59C_.wvu.Cols" localSheetId="11" hidden="1">'Szakképesítések 21.08.02. PK-k'!$D:$F,'Szakképesítések 21.08.02. PK-k'!$J:$L</definedName>
    <definedName name="Z_52E7CAE8_D491_4F7C_9C90_BCE16466F59C_.wvu.FilterData" localSheetId="11" hidden="1">'Szakképesítések 21.08.02. PK-k'!$B$1:$L$429</definedName>
    <definedName name="Z_5C47229C_613E_4BF8_AD97_8D83D8C86A7B_.wvu.FilterData" localSheetId="11" hidden="1">'Szakképesítések 21.08.02. PK-k'!$B$1:$L$429</definedName>
    <definedName name="Z_6BBBF1CD_7EC1_4B70_9180_6750BF861616_.wvu.FilterData" localSheetId="11" hidden="1">'Szakképesítések 21.08.02. PK-k'!$B$1:$L$429</definedName>
    <definedName name="Z_99F00D2E_632A_4613_9C0A_97E6269B11F7_.wvu.FilterData" localSheetId="11" hidden="1">'Szakképesítések 21.08.02. PK-k'!$B$1:$L$429</definedName>
    <definedName name="Z_B135A6F6_EB2F_4B34_83D7_02EC99D5FC88_.wvu.FilterData" localSheetId="11" hidden="1">'Szakképesítések 21.08.02. PK-k'!$B$1:$L$429</definedName>
    <definedName name="Z_BDE349E5_9ADA_4C92_9324_F4190952ED33_.wvu.FilterData" localSheetId="11" hidden="1">'Szakképesítések 21.08.02. PK-k'!$B$1:$L$429</definedName>
    <definedName name="Z_D63802CE_23DC_4054_8278_B1ABFEAFD91C_.wvu.Cols" localSheetId="11" hidden="1">'Szakképesítések 21.08.02. PK-k'!$D:$F</definedName>
    <definedName name="Z_D63802CE_23DC_4054_8278_B1ABFEAFD91C_.wvu.FilterData" localSheetId="11" hidden="1">'Szakképesítések 21.08.02. PK-k'!$B$1:$L$429</definedName>
  </definedNames>
  <calcPr calcId="162913"/>
</workbook>
</file>

<file path=xl/calcChain.xml><?xml version="1.0" encoding="utf-8"?>
<calcChain xmlns="http://schemas.openxmlformats.org/spreadsheetml/2006/main">
  <c r="B89" i="60" l="1"/>
  <c r="C6" i="69"/>
  <c r="M4" i="73" l="1"/>
  <c r="M21" i="73"/>
  <c r="M27" i="73"/>
  <c r="M42" i="73"/>
  <c r="M55" i="73"/>
  <c r="M71" i="73"/>
  <c r="M75" i="73"/>
  <c r="M76" i="73"/>
  <c r="M77" i="73"/>
  <c r="M78" i="73"/>
  <c r="M93" i="73"/>
  <c r="M101" i="73"/>
  <c r="M102" i="73"/>
  <c r="M103" i="73"/>
  <c r="M104" i="73"/>
  <c r="M105" i="73"/>
  <c r="M107" i="73"/>
  <c r="M111" i="73"/>
  <c r="M128" i="73"/>
  <c r="M129" i="73"/>
  <c r="M130" i="73"/>
  <c r="M133" i="73"/>
  <c r="M134" i="73"/>
  <c r="M144" i="73"/>
  <c r="M178" i="73"/>
  <c r="M179" i="73"/>
  <c r="M191" i="73"/>
  <c r="M192" i="73"/>
  <c r="M217" i="73"/>
  <c r="M218" i="73"/>
  <c r="M219" i="73"/>
  <c r="M220" i="73"/>
  <c r="M221" i="73"/>
  <c r="M245" i="73"/>
  <c r="M246" i="73"/>
  <c r="M247" i="73"/>
  <c r="M255" i="73"/>
  <c r="M259" i="73"/>
  <c r="M265" i="73"/>
  <c r="M276" i="73"/>
  <c r="M313" i="73"/>
  <c r="M314" i="73"/>
  <c r="M317" i="73"/>
  <c r="M323" i="73"/>
  <c r="M331" i="73"/>
  <c r="M407" i="73"/>
  <c r="M408" i="73"/>
  <c r="M409" i="73"/>
  <c r="M411" i="73"/>
  <c r="M413" i="73"/>
  <c r="M414" i="73"/>
  <c r="M415" i="73"/>
  <c r="M416" i="73"/>
  <c r="M417" i="73"/>
  <c r="M418" i="73"/>
  <c r="M419" i="73"/>
  <c r="M426" i="73"/>
  <c r="M26" i="73"/>
  <c r="M30" i="73"/>
  <c r="M48" i="73"/>
  <c r="M49" i="73"/>
  <c r="M58" i="73"/>
  <c r="M86" i="73"/>
  <c r="M89" i="73"/>
  <c r="M98" i="73"/>
  <c r="M109" i="73"/>
  <c r="M110" i="73"/>
  <c r="M112" i="73"/>
  <c r="M132" i="73"/>
  <c r="M280" i="73"/>
  <c r="M315" i="73"/>
  <c r="M325" i="73"/>
  <c r="M343" i="73"/>
  <c r="M52" i="73"/>
  <c r="M57" i="73"/>
  <c r="M131" i="73"/>
  <c r="M271" i="73"/>
  <c r="M272" i="73"/>
  <c r="M273" i="73"/>
  <c r="M309" i="73"/>
  <c r="M326" i="73"/>
  <c r="M388" i="73"/>
  <c r="M400" i="73"/>
  <c r="M423" i="73"/>
  <c r="M82" i="73"/>
  <c r="M99" i="73"/>
  <c r="M34" i="73"/>
  <c r="M41" i="73"/>
  <c r="M44" i="73"/>
  <c r="M50" i="73"/>
  <c r="M79" i="73"/>
  <c r="M81" i="73"/>
  <c r="M97" i="73"/>
  <c r="M108" i="73"/>
  <c r="M143" i="73"/>
  <c r="M167" i="73"/>
  <c r="M168" i="73"/>
  <c r="M193" i="73"/>
  <c r="M243" i="73"/>
  <c r="M253" i="73"/>
  <c r="M261" i="73"/>
  <c r="M264" i="73"/>
  <c r="M268" i="73"/>
  <c r="M270" i="73"/>
  <c r="M307" i="73"/>
  <c r="M311" i="73"/>
  <c r="M355" i="73"/>
  <c r="M358" i="73"/>
  <c r="M375" i="73"/>
  <c r="M391" i="73"/>
  <c r="M403" i="73"/>
  <c r="M427" i="73"/>
  <c r="M95" i="73"/>
  <c r="M96" i="73"/>
  <c r="M145" i="73"/>
  <c r="M401" i="73"/>
  <c r="M70" i="73"/>
  <c r="M2" i="73"/>
  <c r="M106" i="73"/>
  <c r="M136" i="73"/>
  <c r="M137" i="73"/>
  <c r="M138" i="73"/>
  <c r="M160" i="73"/>
  <c r="M161" i="73"/>
  <c r="M162" i="73"/>
  <c r="M163" i="73"/>
  <c r="M164" i="73"/>
  <c r="M165" i="73"/>
  <c r="M166" i="73"/>
  <c r="M263" i="73"/>
  <c r="M266" i="73"/>
  <c r="M274" i="73"/>
  <c r="M386" i="73"/>
  <c r="M428" i="73"/>
  <c r="M60" i="73"/>
  <c r="M74" i="73"/>
  <c r="M269" i="73"/>
  <c r="M25" i="73"/>
  <c r="M28" i="73"/>
  <c r="M54" i="73"/>
  <c r="M240" i="73"/>
  <c r="M257" i="73"/>
  <c r="M260" i="73"/>
  <c r="M262" i="73"/>
  <c r="M385" i="73"/>
  <c r="M429" i="73"/>
  <c r="M169" i="73"/>
  <c r="M310" i="73"/>
  <c r="M327" i="73"/>
  <c r="M87" i="73"/>
  <c r="M88" i="73"/>
  <c r="M8" i="73"/>
  <c r="M9" i="73"/>
  <c r="M10" i="73"/>
  <c r="M11" i="73"/>
  <c r="M12" i="73"/>
  <c r="M13" i="73"/>
  <c r="M14" i="73"/>
  <c r="M15" i="73"/>
  <c r="M16" i="73"/>
  <c r="M17" i="73"/>
  <c r="M18" i="73"/>
  <c r="M19" i="73"/>
  <c r="M20" i="73"/>
  <c r="M31" i="73"/>
  <c r="M51" i="73"/>
  <c r="M53" i="73"/>
  <c r="M61" i="73"/>
  <c r="M62" i="73"/>
  <c r="M63" i="73"/>
  <c r="M64" i="73"/>
  <c r="M65" i="73"/>
  <c r="M66" i="73"/>
  <c r="M67" i="73"/>
  <c r="M68" i="73"/>
  <c r="M80" i="73"/>
  <c r="M94" i="73"/>
  <c r="M113" i="73"/>
  <c r="M114" i="73"/>
  <c r="M115" i="73"/>
  <c r="M116" i="73"/>
  <c r="M117" i="73"/>
  <c r="M118" i="73"/>
  <c r="M119" i="73"/>
  <c r="M120" i="73"/>
  <c r="M121" i="73"/>
  <c r="M122" i="73"/>
  <c r="M123" i="73"/>
  <c r="M124" i="73"/>
  <c r="M125" i="73"/>
  <c r="M126" i="73"/>
  <c r="M147" i="73"/>
  <c r="M148" i="73"/>
  <c r="M149" i="73"/>
  <c r="M150" i="73"/>
  <c r="M151" i="73"/>
  <c r="M152" i="73"/>
  <c r="M153" i="73"/>
  <c r="M154" i="73"/>
  <c r="M155" i="73"/>
  <c r="M156" i="73"/>
  <c r="M157" i="73"/>
  <c r="M158" i="73"/>
  <c r="M170" i="73"/>
  <c r="M171" i="73"/>
  <c r="M172" i="73"/>
  <c r="M173" i="73"/>
  <c r="M174" i="73"/>
  <c r="M181" i="73"/>
  <c r="M182" i="73"/>
  <c r="M183" i="73"/>
  <c r="M184" i="73"/>
  <c r="M185" i="73"/>
  <c r="M186" i="73"/>
  <c r="M187" i="73"/>
  <c r="M188" i="73"/>
  <c r="M189" i="73"/>
  <c r="M190" i="73"/>
  <c r="M222" i="73"/>
  <c r="M223" i="73"/>
  <c r="M224" i="73"/>
  <c r="M225" i="73"/>
  <c r="M226" i="73"/>
  <c r="M227" i="73"/>
  <c r="M228" i="73"/>
  <c r="M229" i="73"/>
  <c r="M230" i="73"/>
  <c r="M231" i="73"/>
  <c r="M232" i="73"/>
  <c r="M233" i="73"/>
  <c r="M234" i="73"/>
  <c r="M235" i="73"/>
  <c r="M236" i="73"/>
  <c r="M237" i="73"/>
  <c r="M238" i="73"/>
  <c r="M239" i="73"/>
  <c r="M241" i="73"/>
  <c r="M242" i="73"/>
  <c r="M254" i="73"/>
  <c r="M278" i="73"/>
  <c r="M279" i="73"/>
  <c r="M281" i="73"/>
  <c r="M282" i="73"/>
  <c r="M283" i="73"/>
  <c r="M284" i="73"/>
  <c r="M285" i="73"/>
  <c r="M286" i="73"/>
  <c r="M287" i="73"/>
  <c r="M288" i="73"/>
  <c r="M289" i="73"/>
  <c r="M290" i="73"/>
  <c r="M291" i="73"/>
  <c r="M292" i="73"/>
  <c r="M293" i="73"/>
  <c r="M294" i="73"/>
  <c r="M295" i="73"/>
  <c r="M296" i="73"/>
  <c r="M297" i="73"/>
  <c r="M298" i="73"/>
  <c r="M299" i="73"/>
  <c r="M300" i="73"/>
  <c r="M301" i="73"/>
  <c r="M302" i="73"/>
  <c r="M303" i="73"/>
  <c r="M304" i="73"/>
  <c r="M305" i="73"/>
  <c r="M306" i="73"/>
  <c r="M359" i="73"/>
  <c r="M360" i="73"/>
  <c r="M361" i="73"/>
  <c r="M362" i="73"/>
  <c r="M363" i="73"/>
  <c r="M364" i="73"/>
  <c r="M365" i="73"/>
  <c r="M366" i="73"/>
  <c r="M367" i="73"/>
  <c r="M368" i="73"/>
  <c r="M369" i="73"/>
  <c r="M370" i="73"/>
  <c r="M371" i="73"/>
  <c r="M372" i="73"/>
  <c r="M373" i="73"/>
  <c r="M374" i="73"/>
  <c r="M376" i="73"/>
  <c r="M377" i="73"/>
  <c r="M378" i="73"/>
  <c r="M379" i="73"/>
  <c r="M380" i="73"/>
  <c r="M381" i="73"/>
  <c r="M382" i="73"/>
  <c r="M383" i="73"/>
  <c r="M399" i="73"/>
  <c r="M412" i="73"/>
  <c r="M420" i="73"/>
  <c r="M421" i="73"/>
  <c r="M46" i="73"/>
  <c r="M319" i="73"/>
  <c r="M320" i="73"/>
  <c r="M7" i="73"/>
  <c r="M45" i="73"/>
  <c r="M72" i="73"/>
  <c r="M83" i="73"/>
  <c r="M84" i="73"/>
  <c r="M91" i="73"/>
  <c r="M92" i="73"/>
  <c r="M330" i="73"/>
  <c r="M332" i="73"/>
  <c r="M333" i="73"/>
  <c r="M334" i="73"/>
  <c r="M335" i="73"/>
  <c r="M336" i="73"/>
  <c r="M337" i="73"/>
  <c r="M338" i="73"/>
  <c r="M339" i="73"/>
  <c r="M340" i="73"/>
  <c r="M341" i="73"/>
  <c r="M342" i="73"/>
  <c r="M344" i="73"/>
  <c r="M345" i="73"/>
  <c r="M346" i="73"/>
  <c r="M347" i="73"/>
  <c r="M348" i="73"/>
  <c r="M349" i="73"/>
  <c r="M350" i="73"/>
  <c r="M351" i="73"/>
  <c r="M352" i="73"/>
  <c r="M353" i="73"/>
  <c r="M357" i="73"/>
  <c r="M390" i="73"/>
  <c r="M392" i="73"/>
  <c r="M393" i="73"/>
  <c r="M47" i="73"/>
  <c r="M250" i="73"/>
  <c r="M43" i="73"/>
  <c r="M318" i="73"/>
  <c r="M139" i="73"/>
  <c r="M142" i="73"/>
  <c r="M251" i="73"/>
  <c r="M59" i="73"/>
  <c r="M141" i="73"/>
  <c r="M256" i="73"/>
  <c r="M329" i="73"/>
  <c r="M3" i="73"/>
  <c r="M5" i="73"/>
  <c r="M22" i="73"/>
  <c r="M23" i="73"/>
  <c r="M24" i="73"/>
  <c r="M29" i="73"/>
  <c r="M32" i="73"/>
  <c r="M33" i="73"/>
  <c r="M56" i="73"/>
  <c r="M69" i="73"/>
  <c r="M73" i="73"/>
  <c r="M90" i="73"/>
  <c r="M135" i="73"/>
  <c r="M140" i="73"/>
  <c r="M146" i="73"/>
  <c r="M159" i="73"/>
  <c r="M248" i="73"/>
  <c r="M267" i="73"/>
  <c r="M275" i="73"/>
  <c r="M277" i="73"/>
  <c r="M308" i="73"/>
  <c r="M312" i="73"/>
  <c r="M321" i="73"/>
  <c r="M322" i="73"/>
  <c r="M324" i="73"/>
  <c r="M328" i="73"/>
  <c r="M354" i="73"/>
  <c r="M384" i="73"/>
  <c r="M389" i="73"/>
  <c r="M394" i="73"/>
  <c r="M402" i="73"/>
  <c r="M405" i="73"/>
  <c r="M406" i="73"/>
  <c r="M410" i="73"/>
  <c r="M35" i="73"/>
  <c r="M36" i="73"/>
  <c r="M37" i="73"/>
  <c r="M38" i="73"/>
  <c r="M39" i="73"/>
  <c r="M40" i="73"/>
  <c r="M85" i="73"/>
  <c r="M100" i="73"/>
  <c r="M127" i="73"/>
  <c r="M175" i="73"/>
  <c r="M176" i="73"/>
  <c r="M177" i="73"/>
  <c r="M180" i="73"/>
  <c r="M194" i="73"/>
  <c r="M195" i="73"/>
  <c r="M196" i="73"/>
  <c r="M197" i="73"/>
  <c r="M198" i="73"/>
  <c r="M199" i="73"/>
  <c r="M200" i="73"/>
  <c r="M201" i="73"/>
  <c r="M202" i="73"/>
  <c r="M203" i="73"/>
  <c r="M204" i="73"/>
  <c r="M205" i="73"/>
  <c r="M206" i="73"/>
  <c r="M207" i="73"/>
  <c r="M209" i="73"/>
  <c r="M208" i="73"/>
  <c r="M210" i="73"/>
  <c r="M211" i="73"/>
  <c r="M212" i="73"/>
  <c r="M213" i="73"/>
  <c r="M214" i="73"/>
  <c r="M215" i="73"/>
  <c r="M216" i="73"/>
  <c r="M244" i="73"/>
  <c r="M249" i="73"/>
  <c r="M252" i="73"/>
  <c r="M258" i="73"/>
  <c r="M316" i="73"/>
  <c r="M356" i="73"/>
  <c r="M387" i="73"/>
  <c r="M395" i="73"/>
  <c r="M396" i="73"/>
  <c r="M397" i="73"/>
  <c r="M398" i="73"/>
  <c r="M404" i="73"/>
  <c r="M422" i="73"/>
  <c r="M424" i="73"/>
  <c r="M425" i="73"/>
  <c r="M6" i="73"/>
  <c r="M63" i="64"/>
  <c r="J4" i="73"/>
  <c r="K4" i="73" s="1"/>
  <c r="J21" i="73"/>
  <c r="K21" i="73" s="1"/>
  <c r="J27" i="73"/>
  <c r="K27" i="73" s="1"/>
  <c r="J42" i="73"/>
  <c r="K42" i="73" s="1"/>
  <c r="J55" i="73"/>
  <c r="K55" i="73" s="1"/>
  <c r="J71" i="73"/>
  <c r="K71" i="73" s="1"/>
  <c r="J75" i="73"/>
  <c r="K75" i="73" s="1"/>
  <c r="J76" i="73"/>
  <c r="K76" i="73" s="1"/>
  <c r="J77" i="73"/>
  <c r="K77" i="73" s="1"/>
  <c r="J78" i="73"/>
  <c r="K78" i="73" s="1"/>
  <c r="J93" i="73"/>
  <c r="K93" i="73" s="1"/>
  <c r="J101" i="73"/>
  <c r="K101" i="73" s="1"/>
  <c r="J102" i="73"/>
  <c r="K102" i="73" s="1"/>
  <c r="J103" i="73"/>
  <c r="K103" i="73" s="1"/>
  <c r="J104" i="73"/>
  <c r="K104" i="73" s="1"/>
  <c r="J105" i="73"/>
  <c r="K105" i="73" s="1"/>
  <c r="J107" i="73"/>
  <c r="K107" i="73" s="1"/>
  <c r="J111" i="73"/>
  <c r="K111" i="73" s="1"/>
  <c r="J128" i="73"/>
  <c r="K128" i="73" s="1"/>
  <c r="J129" i="73"/>
  <c r="K129" i="73" s="1"/>
  <c r="J130" i="73"/>
  <c r="K130" i="73" s="1"/>
  <c r="J133" i="73"/>
  <c r="K133" i="73" s="1"/>
  <c r="J134" i="73"/>
  <c r="K134" i="73" s="1"/>
  <c r="J144" i="73"/>
  <c r="K144" i="73" s="1"/>
  <c r="J178" i="73"/>
  <c r="K178" i="73" s="1"/>
  <c r="J179" i="73"/>
  <c r="K179" i="73" s="1"/>
  <c r="J191" i="73"/>
  <c r="K191" i="73" s="1"/>
  <c r="J192" i="73"/>
  <c r="K192" i="73" s="1"/>
  <c r="J217" i="73"/>
  <c r="K217" i="73" s="1"/>
  <c r="J218" i="73"/>
  <c r="K218" i="73" s="1"/>
  <c r="J219" i="73"/>
  <c r="K219" i="73" s="1"/>
  <c r="J220" i="73"/>
  <c r="K220" i="73" s="1"/>
  <c r="J221" i="73"/>
  <c r="K221" i="73" s="1"/>
  <c r="J245" i="73"/>
  <c r="K245" i="73" s="1"/>
  <c r="J246" i="73"/>
  <c r="K246" i="73" s="1"/>
  <c r="J247" i="73"/>
  <c r="K247" i="73" s="1"/>
  <c r="J255" i="73"/>
  <c r="K255" i="73" s="1"/>
  <c r="J259" i="73"/>
  <c r="K259" i="73" s="1"/>
  <c r="J265" i="73"/>
  <c r="K265" i="73" s="1"/>
  <c r="J276" i="73"/>
  <c r="K276" i="73" s="1"/>
  <c r="J313" i="73"/>
  <c r="K313" i="73" s="1"/>
  <c r="J314" i="73"/>
  <c r="K314" i="73" s="1"/>
  <c r="J317" i="73"/>
  <c r="K317" i="73" s="1"/>
  <c r="J323" i="73"/>
  <c r="K323" i="73" s="1"/>
  <c r="J331" i="73"/>
  <c r="K331" i="73" s="1"/>
  <c r="J407" i="73"/>
  <c r="K407" i="73" s="1"/>
  <c r="J408" i="73"/>
  <c r="K408" i="73" s="1"/>
  <c r="J409" i="73"/>
  <c r="K409" i="73" s="1"/>
  <c r="J411" i="73"/>
  <c r="K411" i="73" s="1"/>
  <c r="J413" i="73"/>
  <c r="K413" i="73" s="1"/>
  <c r="J414" i="73"/>
  <c r="K414" i="73" s="1"/>
  <c r="J415" i="73"/>
  <c r="K415" i="73" s="1"/>
  <c r="J416" i="73"/>
  <c r="K416" i="73" s="1"/>
  <c r="J417" i="73"/>
  <c r="K417" i="73" s="1"/>
  <c r="J418" i="73"/>
  <c r="K418" i="73" s="1"/>
  <c r="J419" i="73"/>
  <c r="K419" i="73" s="1"/>
  <c r="J426" i="73"/>
  <c r="K426" i="73" s="1"/>
  <c r="J26" i="73"/>
  <c r="K26" i="73" s="1"/>
  <c r="J30" i="73"/>
  <c r="K30" i="73" s="1"/>
  <c r="J48" i="73"/>
  <c r="K48" i="73" s="1"/>
  <c r="J49" i="73"/>
  <c r="K49" i="73" s="1"/>
  <c r="J58" i="73"/>
  <c r="K58" i="73" s="1"/>
  <c r="J86" i="73"/>
  <c r="K86" i="73" s="1"/>
  <c r="J89" i="73"/>
  <c r="K89" i="73" s="1"/>
  <c r="J98" i="73"/>
  <c r="K98" i="73" s="1"/>
  <c r="J109" i="73"/>
  <c r="K109" i="73" s="1"/>
  <c r="J110" i="73"/>
  <c r="K110" i="73" s="1"/>
  <c r="J112" i="73"/>
  <c r="K112" i="73" s="1"/>
  <c r="J132" i="73"/>
  <c r="K132" i="73" s="1"/>
  <c r="J280" i="73"/>
  <c r="K280" i="73" s="1"/>
  <c r="J315" i="73"/>
  <c r="K315" i="73" s="1"/>
  <c r="J325" i="73"/>
  <c r="K325" i="73" s="1"/>
  <c r="J343" i="73"/>
  <c r="K343" i="73" s="1"/>
  <c r="J52" i="73"/>
  <c r="K52" i="73" s="1"/>
  <c r="J57" i="73"/>
  <c r="K57" i="73" s="1"/>
  <c r="J131" i="73"/>
  <c r="K131" i="73" s="1"/>
  <c r="J271" i="73"/>
  <c r="K271" i="73" s="1"/>
  <c r="J272" i="73"/>
  <c r="K272" i="73" s="1"/>
  <c r="J273" i="73"/>
  <c r="K273" i="73" s="1"/>
  <c r="J309" i="73"/>
  <c r="K309" i="73" s="1"/>
  <c r="J326" i="73"/>
  <c r="K326" i="73" s="1"/>
  <c r="J388" i="73"/>
  <c r="K388" i="73" s="1"/>
  <c r="J400" i="73"/>
  <c r="K400" i="73" s="1"/>
  <c r="J423" i="73"/>
  <c r="K423" i="73" s="1"/>
  <c r="J82" i="73"/>
  <c r="K82" i="73" s="1"/>
  <c r="J99" i="73"/>
  <c r="K99" i="73" s="1"/>
  <c r="J34" i="73"/>
  <c r="K34" i="73" s="1"/>
  <c r="J41" i="73"/>
  <c r="K41" i="73" s="1"/>
  <c r="J44" i="73"/>
  <c r="K44" i="73" s="1"/>
  <c r="J50" i="73"/>
  <c r="K50" i="73" s="1"/>
  <c r="J79" i="73"/>
  <c r="K79" i="73" s="1"/>
  <c r="J81" i="73"/>
  <c r="K81" i="73" s="1"/>
  <c r="J97" i="73"/>
  <c r="K97" i="73" s="1"/>
  <c r="J108" i="73"/>
  <c r="K108" i="73" s="1"/>
  <c r="J143" i="73"/>
  <c r="K143" i="73" s="1"/>
  <c r="J167" i="73"/>
  <c r="K167" i="73" s="1"/>
  <c r="J168" i="73"/>
  <c r="K168" i="73" s="1"/>
  <c r="J193" i="73"/>
  <c r="K193" i="73" s="1"/>
  <c r="J243" i="73"/>
  <c r="K243" i="73" s="1"/>
  <c r="J253" i="73"/>
  <c r="K253" i="73" s="1"/>
  <c r="J261" i="73"/>
  <c r="K261" i="73" s="1"/>
  <c r="J264" i="73"/>
  <c r="K264" i="73" s="1"/>
  <c r="J268" i="73"/>
  <c r="K268" i="73" s="1"/>
  <c r="J270" i="73"/>
  <c r="K270" i="73" s="1"/>
  <c r="J307" i="73"/>
  <c r="K307" i="73" s="1"/>
  <c r="J311" i="73"/>
  <c r="K311" i="73" s="1"/>
  <c r="J355" i="73"/>
  <c r="K355" i="73" s="1"/>
  <c r="J358" i="73"/>
  <c r="K358" i="73" s="1"/>
  <c r="J375" i="73"/>
  <c r="K375" i="73" s="1"/>
  <c r="J391" i="73"/>
  <c r="K391" i="73" s="1"/>
  <c r="J403" i="73"/>
  <c r="K403" i="73" s="1"/>
  <c r="J427" i="73"/>
  <c r="K427" i="73" s="1"/>
  <c r="J95" i="73"/>
  <c r="K95" i="73" s="1"/>
  <c r="J96" i="73"/>
  <c r="K96" i="73" s="1"/>
  <c r="J145" i="73"/>
  <c r="K145" i="73" s="1"/>
  <c r="J401" i="73"/>
  <c r="K401" i="73" s="1"/>
  <c r="J70" i="73"/>
  <c r="K70" i="73" s="1"/>
  <c r="J2" i="73"/>
  <c r="K2" i="73" s="1"/>
  <c r="J106" i="73"/>
  <c r="K106" i="73" s="1"/>
  <c r="J136" i="73"/>
  <c r="K136" i="73" s="1"/>
  <c r="J137" i="73"/>
  <c r="K137" i="73" s="1"/>
  <c r="J138" i="73"/>
  <c r="K138" i="73" s="1"/>
  <c r="J160" i="73"/>
  <c r="K160" i="73" s="1"/>
  <c r="J161" i="73"/>
  <c r="K161" i="73" s="1"/>
  <c r="J162" i="73"/>
  <c r="K162" i="73" s="1"/>
  <c r="J163" i="73"/>
  <c r="K163" i="73" s="1"/>
  <c r="J164" i="73"/>
  <c r="K164" i="73" s="1"/>
  <c r="J165" i="73"/>
  <c r="K165" i="73" s="1"/>
  <c r="J166" i="73"/>
  <c r="K166" i="73" s="1"/>
  <c r="J263" i="73"/>
  <c r="K263" i="73" s="1"/>
  <c r="J266" i="73"/>
  <c r="K266" i="73" s="1"/>
  <c r="J274" i="73"/>
  <c r="K274" i="73" s="1"/>
  <c r="J386" i="73"/>
  <c r="K386" i="73" s="1"/>
  <c r="J428" i="73"/>
  <c r="K428" i="73" s="1"/>
  <c r="J60" i="73"/>
  <c r="K60" i="73" s="1"/>
  <c r="J74" i="73"/>
  <c r="K74" i="73" s="1"/>
  <c r="J269" i="73"/>
  <c r="K269" i="73" s="1"/>
  <c r="J25" i="73"/>
  <c r="K25" i="73" s="1"/>
  <c r="J28" i="73"/>
  <c r="K28" i="73" s="1"/>
  <c r="J54" i="73"/>
  <c r="K54" i="73" s="1"/>
  <c r="J240" i="73"/>
  <c r="K240" i="73" s="1"/>
  <c r="J257" i="73"/>
  <c r="K257" i="73" s="1"/>
  <c r="J260" i="73"/>
  <c r="K260" i="73" s="1"/>
  <c r="J262" i="73"/>
  <c r="K262" i="73" s="1"/>
  <c r="J385" i="73"/>
  <c r="K385" i="73" s="1"/>
  <c r="J429" i="73"/>
  <c r="K429" i="73" s="1"/>
  <c r="J169" i="73"/>
  <c r="K169" i="73" s="1"/>
  <c r="J310" i="73"/>
  <c r="K310" i="73" s="1"/>
  <c r="J327" i="73"/>
  <c r="K327" i="73" s="1"/>
  <c r="J87" i="73"/>
  <c r="K87" i="73" s="1"/>
  <c r="J88" i="73"/>
  <c r="K88" i="73" s="1"/>
  <c r="J8" i="73"/>
  <c r="K8" i="73" s="1"/>
  <c r="J9" i="73"/>
  <c r="K9" i="73" s="1"/>
  <c r="J10" i="73"/>
  <c r="K10" i="73" s="1"/>
  <c r="J11" i="73"/>
  <c r="K11" i="73" s="1"/>
  <c r="J12" i="73"/>
  <c r="K12" i="73" s="1"/>
  <c r="J13" i="73"/>
  <c r="K13" i="73" s="1"/>
  <c r="J14" i="73"/>
  <c r="K14" i="73" s="1"/>
  <c r="J15" i="73"/>
  <c r="K15" i="73" s="1"/>
  <c r="J16" i="73"/>
  <c r="K16" i="73" s="1"/>
  <c r="J17" i="73"/>
  <c r="K17" i="73" s="1"/>
  <c r="J18" i="73"/>
  <c r="K18" i="73" s="1"/>
  <c r="J19" i="73"/>
  <c r="K19" i="73" s="1"/>
  <c r="J20" i="73"/>
  <c r="K20" i="73" s="1"/>
  <c r="J31" i="73"/>
  <c r="K31" i="73" s="1"/>
  <c r="J51" i="73"/>
  <c r="K51" i="73" s="1"/>
  <c r="J53" i="73"/>
  <c r="K53" i="73" s="1"/>
  <c r="J61" i="73"/>
  <c r="K61" i="73" s="1"/>
  <c r="J62" i="73"/>
  <c r="K62" i="73" s="1"/>
  <c r="J63" i="73"/>
  <c r="K63" i="73" s="1"/>
  <c r="J64" i="73"/>
  <c r="K64" i="73" s="1"/>
  <c r="J65" i="73"/>
  <c r="K65" i="73" s="1"/>
  <c r="J66" i="73"/>
  <c r="K66" i="73" s="1"/>
  <c r="J67" i="73"/>
  <c r="K67" i="73" s="1"/>
  <c r="J68" i="73"/>
  <c r="K68" i="73" s="1"/>
  <c r="J80" i="73"/>
  <c r="K80" i="73" s="1"/>
  <c r="J94" i="73"/>
  <c r="K94" i="73" s="1"/>
  <c r="J113" i="73"/>
  <c r="K113" i="73" s="1"/>
  <c r="J114" i="73"/>
  <c r="K114" i="73" s="1"/>
  <c r="J115" i="73"/>
  <c r="K115" i="73" s="1"/>
  <c r="J116" i="73"/>
  <c r="K116" i="73" s="1"/>
  <c r="J117" i="73"/>
  <c r="K117" i="73" s="1"/>
  <c r="J118" i="73"/>
  <c r="K118" i="73" s="1"/>
  <c r="J119" i="73"/>
  <c r="K119" i="73" s="1"/>
  <c r="J120" i="73"/>
  <c r="K120" i="73" s="1"/>
  <c r="J121" i="73"/>
  <c r="K121" i="73" s="1"/>
  <c r="J122" i="73"/>
  <c r="K122" i="73" s="1"/>
  <c r="J123" i="73"/>
  <c r="K123" i="73" s="1"/>
  <c r="J124" i="73"/>
  <c r="K124" i="73" s="1"/>
  <c r="J125" i="73"/>
  <c r="K125" i="73" s="1"/>
  <c r="J126" i="73"/>
  <c r="K126" i="73" s="1"/>
  <c r="J147" i="73"/>
  <c r="K147" i="73" s="1"/>
  <c r="J148" i="73"/>
  <c r="K148" i="73" s="1"/>
  <c r="J149" i="73"/>
  <c r="K149" i="73" s="1"/>
  <c r="J150" i="73"/>
  <c r="K150" i="73" s="1"/>
  <c r="J151" i="73"/>
  <c r="K151" i="73" s="1"/>
  <c r="J152" i="73"/>
  <c r="K152" i="73" s="1"/>
  <c r="J153" i="73"/>
  <c r="K153" i="73" s="1"/>
  <c r="J154" i="73"/>
  <c r="K154" i="73" s="1"/>
  <c r="J155" i="73"/>
  <c r="K155" i="73" s="1"/>
  <c r="J156" i="73"/>
  <c r="K156" i="73" s="1"/>
  <c r="J157" i="73"/>
  <c r="K157" i="73" s="1"/>
  <c r="J158" i="73"/>
  <c r="K158" i="73" s="1"/>
  <c r="J170" i="73"/>
  <c r="K170" i="73" s="1"/>
  <c r="J171" i="73"/>
  <c r="K171" i="73" s="1"/>
  <c r="J172" i="73"/>
  <c r="K172" i="73" s="1"/>
  <c r="J173" i="73"/>
  <c r="K173" i="73" s="1"/>
  <c r="J174" i="73"/>
  <c r="K174" i="73" s="1"/>
  <c r="J181" i="73"/>
  <c r="K181" i="73" s="1"/>
  <c r="J182" i="73"/>
  <c r="K182" i="73" s="1"/>
  <c r="J183" i="73"/>
  <c r="K183" i="73" s="1"/>
  <c r="J184" i="73"/>
  <c r="K184" i="73" s="1"/>
  <c r="J185" i="73"/>
  <c r="K185" i="73" s="1"/>
  <c r="J186" i="73"/>
  <c r="K186" i="73" s="1"/>
  <c r="J187" i="73"/>
  <c r="K187" i="73" s="1"/>
  <c r="J188" i="73"/>
  <c r="K188" i="73" s="1"/>
  <c r="J189" i="73"/>
  <c r="K189" i="73" s="1"/>
  <c r="J190" i="73"/>
  <c r="K190" i="73" s="1"/>
  <c r="J222" i="73"/>
  <c r="K222" i="73" s="1"/>
  <c r="J223" i="73"/>
  <c r="K223" i="73" s="1"/>
  <c r="J224" i="73"/>
  <c r="K224" i="73" s="1"/>
  <c r="J225" i="73"/>
  <c r="K225" i="73" s="1"/>
  <c r="J226" i="73"/>
  <c r="K226" i="73" s="1"/>
  <c r="J227" i="73"/>
  <c r="K227" i="73" s="1"/>
  <c r="J228" i="73"/>
  <c r="K228" i="73" s="1"/>
  <c r="J229" i="73"/>
  <c r="K229" i="73" s="1"/>
  <c r="J230" i="73"/>
  <c r="K230" i="73" s="1"/>
  <c r="J231" i="73"/>
  <c r="K231" i="73" s="1"/>
  <c r="J232" i="73"/>
  <c r="K232" i="73" s="1"/>
  <c r="J233" i="73"/>
  <c r="K233" i="73" s="1"/>
  <c r="J234" i="73"/>
  <c r="K234" i="73" s="1"/>
  <c r="J235" i="73"/>
  <c r="K235" i="73" s="1"/>
  <c r="J236" i="73"/>
  <c r="K236" i="73" s="1"/>
  <c r="J237" i="73"/>
  <c r="K237" i="73" s="1"/>
  <c r="J238" i="73"/>
  <c r="K238" i="73" s="1"/>
  <c r="J239" i="73"/>
  <c r="K239" i="73" s="1"/>
  <c r="J241" i="73"/>
  <c r="K241" i="73" s="1"/>
  <c r="J242" i="73"/>
  <c r="K242" i="73" s="1"/>
  <c r="J254" i="73"/>
  <c r="K254" i="73" s="1"/>
  <c r="J278" i="73"/>
  <c r="K278" i="73" s="1"/>
  <c r="J279" i="73"/>
  <c r="K279" i="73" s="1"/>
  <c r="J281" i="73"/>
  <c r="K281" i="73" s="1"/>
  <c r="J282" i="73"/>
  <c r="K282" i="73" s="1"/>
  <c r="J283" i="73"/>
  <c r="K283" i="73" s="1"/>
  <c r="J284" i="73"/>
  <c r="K284" i="73" s="1"/>
  <c r="J285" i="73"/>
  <c r="K285" i="73" s="1"/>
  <c r="J286" i="73"/>
  <c r="K286" i="73" s="1"/>
  <c r="J287" i="73"/>
  <c r="K287" i="73" s="1"/>
  <c r="J288" i="73"/>
  <c r="K288" i="73" s="1"/>
  <c r="J289" i="73"/>
  <c r="K289" i="73" s="1"/>
  <c r="J290" i="73"/>
  <c r="K290" i="73" s="1"/>
  <c r="J291" i="73"/>
  <c r="K291" i="73" s="1"/>
  <c r="J292" i="73"/>
  <c r="K292" i="73" s="1"/>
  <c r="J293" i="73"/>
  <c r="K293" i="73" s="1"/>
  <c r="J294" i="73"/>
  <c r="K294" i="73" s="1"/>
  <c r="J295" i="73"/>
  <c r="K295" i="73" s="1"/>
  <c r="J296" i="73"/>
  <c r="K296" i="73" s="1"/>
  <c r="J297" i="73"/>
  <c r="K297" i="73" s="1"/>
  <c r="J298" i="73"/>
  <c r="K298" i="73" s="1"/>
  <c r="J299" i="73"/>
  <c r="K299" i="73" s="1"/>
  <c r="J300" i="73"/>
  <c r="K300" i="73" s="1"/>
  <c r="J301" i="73"/>
  <c r="K301" i="73" s="1"/>
  <c r="J302" i="73"/>
  <c r="K302" i="73" s="1"/>
  <c r="J303" i="73"/>
  <c r="K303" i="73" s="1"/>
  <c r="J304" i="73"/>
  <c r="K304" i="73" s="1"/>
  <c r="J305" i="73"/>
  <c r="K305" i="73" s="1"/>
  <c r="J306" i="73"/>
  <c r="K306" i="73" s="1"/>
  <c r="J359" i="73"/>
  <c r="K359" i="73" s="1"/>
  <c r="J360" i="73"/>
  <c r="K360" i="73" s="1"/>
  <c r="J361" i="73"/>
  <c r="K361" i="73" s="1"/>
  <c r="J362" i="73"/>
  <c r="K362" i="73" s="1"/>
  <c r="J363" i="73"/>
  <c r="K363" i="73" s="1"/>
  <c r="J364" i="73"/>
  <c r="K364" i="73" s="1"/>
  <c r="J365" i="73"/>
  <c r="K365" i="73" s="1"/>
  <c r="J366" i="73"/>
  <c r="K366" i="73" s="1"/>
  <c r="J367" i="73"/>
  <c r="K367" i="73" s="1"/>
  <c r="J368" i="73"/>
  <c r="K368" i="73" s="1"/>
  <c r="J369" i="73"/>
  <c r="K369" i="73" s="1"/>
  <c r="J370" i="73"/>
  <c r="K370" i="73" s="1"/>
  <c r="J371" i="73"/>
  <c r="K371" i="73" s="1"/>
  <c r="J372" i="73"/>
  <c r="K372" i="73" s="1"/>
  <c r="J373" i="73"/>
  <c r="K373" i="73" s="1"/>
  <c r="J374" i="73"/>
  <c r="K374" i="73" s="1"/>
  <c r="J376" i="73"/>
  <c r="K376" i="73" s="1"/>
  <c r="J377" i="73"/>
  <c r="K377" i="73" s="1"/>
  <c r="J378" i="73"/>
  <c r="K378" i="73" s="1"/>
  <c r="J379" i="73"/>
  <c r="K379" i="73" s="1"/>
  <c r="J380" i="73"/>
  <c r="K380" i="73" s="1"/>
  <c r="J381" i="73"/>
  <c r="K381" i="73" s="1"/>
  <c r="J382" i="73"/>
  <c r="K382" i="73" s="1"/>
  <c r="J383" i="73"/>
  <c r="K383" i="73" s="1"/>
  <c r="J399" i="73"/>
  <c r="K399" i="73" s="1"/>
  <c r="J412" i="73"/>
  <c r="K412" i="73" s="1"/>
  <c r="J420" i="73"/>
  <c r="K420" i="73" s="1"/>
  <c r="J421" i="73"/>
  <c r="K421" i="73" s="1"/>
  <c r="J46" i="73"/>
  <c r="K46" i="73" s="1"/>
  <c r="J319" i="73"/>
  <c r="K319" i="73" s="1"/>
  <c r="J320" i="73"/>
  <c r="K320" i="73" s="1"/>
  <c r="J7" i="73"/>
  <c r="K7" i="73" s="1"/>
  <c r="J45" i="73"/>
  <c r="K45" i="73" s="1"/>
  <c r="J72" i="73"/>
  <c r="K72" i="73" s="1"/>
  <c r="J83" i="73"/>
  <c r="K83" i="73" s="1"/>
  <c r="J84" i="73"/>
  <c r="K84" i="73" s="1"/>
  <c r="J91" i="73"/>
  <c r="K91" i="73" s="1"/>
  <c r="J92" i="73"/>
  <c r="K92" i="73" s="1"/>
  <c r="J330" i="73"/>
  <c r="K330" i="73" s="1"/>
  <c r="J332" i="73"/>
  <c r="K332" i="73" s="1"/>
  <c r="J333" i="73"/>
  <c r="K333" i="73" s="1"/>
  <c r="J334" i="73"/>
  <c r="K334" i="73" s="1"/>
  <c r="J335" i="73"/>
  <c r="K335" i="73" s="1"/>
  <c r="J336" i="73"/>
  <c r="K336" i="73" s="1"/>
  <c r="J337" i="73"/>
  <c r="K337" i="73" s="1"/>
  <c r="J338" i="73"/>
  <c r="K338" i="73" s="1"/>
  <c r="J339" i="73"/>
  <c r="K339" i="73" s="1"/>
  <c r="J340" i="73"/>
  <c r="K340" i="73" s="1"/>
  <c r="J341" i="73"/>
  <c r="K341" i="73" s="1"/>
  <c r="J342" i="73"/>
  <c r="K342" i="73" s="1"/>
  <c r="J344" i="73"/>
  <c r="K344" i="73" s="1"/>
  <c r="J345" i="73"/>
  <c r="K345" i="73" s="1"/>
  <c r="J346" i="73"/>
  <c r="K346" i="73" s="1"/>
  <c r="J347" i="73"/>
  <c r="K347" i="73" s="1"/>
  <c r="J348" i="73"/>
  <c r="K348" i="73" s="1"/>
  <c r="J349" i="73"/>
  <c r="K349" i="73" s="1"/>
  <c r="J350" i="73"/>
  <c r="K350" i="73" s="1"/>
  <c r="J351" i="73"/>
  <c r="K351" i="73" s="1"/>
  <c r="J352" i="73"/>
  <c r="K352" i="73" s="1"/>
  <c r="J353" i="73"/>
  <c r="K353" i="73" s="1"/>
  <c r="J357" i="73"/>
  <c r="K357" i="73" s="1"/>
  <c r="J390" i="73"/>
  <c r="K390" i="73" s="1"/>
  <c r="J392" i="73"/>
  <c r="K392" i="73" s="1"/>
  <c r="J393" i="73"/>
  <c r="K393" i="73" s="1"/>
  <c r="J47" i="73"/>
  <c r="K47" i="73" s="1"/>
  <c r="J250" i="73"/>
  <c r="K250" i="73" s="1"/>
  <c r="J43" i="73"/>
  <c r="K43" i="73" s="1"/>
  <c r="J318" i="73"/>
  <c r="K318" i="73" s="1"/>
  <c r="J139" i="73"/>
  <c r="K139" i="73" s="1"/>
  <c r="J142" i="73"/>
  <c r="K142" i="73" s="1"/>
  <c r="J251" i="73"/>
  <c r="K251" i="73" s="1"/>
  <c r="J59" i="73"/>
  <c r="K59" i="73" s="1"/>
  <c r="J141" i="73"/>
  <c r="K141" i="73" s="1"/>
  <c r="J256" i="73"/>
  <c r="K256" i="73" s="1"/>
  <c r="J329" i="73"/>
  <c r="K329" i="73" s="1"/>
  <c r="J3" i="73"/>
  <c r="K3" i="73" s="1"/>
  <c r="J5" i="73"/>
  <c r="K5" i="73" s="1"/>
  <c r="J22" i="73"/>
  <c r="K22" i="73" s="1"/>
  <c r="J23" i="73"/>
  <c r="K23" i="73" s="1"/>
  <c r="J24" i="73"/>
  <c r="K24" i="73" s="1"/>
  <c r="J29" i="73"/>
  <c r="K29" i="73" s="1"/>
  <c r="J32" i="73"/>
  <c r="K32" i="73" s="1"/>
  <c r="J33" i="73"/>
  <c r="K33" i="73" s="1"/>
  <c r="J56" i="73"/>
  <c r="K56" i="73" s="1"/>
  <c r="J69" i="73"/>
  <c r="K69" i="73" s="1"/>
  <c r="J73" i="73"/>
  <c r="K73" i="73" s="1"/>
  <c r="J90" i="73"/>
  <c r="K90" i="73" s="1"/>
  <c r="J135" i="73"/>
  <c r="K135" i="73" s="1"/>
  <c r="J140" i="73"/>
  <c r="K140" i="73" s="1"/>
  <c r="J146" i="73"/>
  <c r="K146" i="73" s="1"/>
  <c r="J159" i="73"/>
  <c r="K159" i="73" s="1"/>
  <c r="J248" i="73"/>
  <c r="K248" i="73" s="1"/>
  <c r="J267" i="73"/>
  <c r="K267" i="73" s="1"/>
  <c r="J275" i="73"/>
  <c r="K275" i="73" s="1"/>
  <c r="J277" i="73"/>
  <c r="K277" i="73" s="1"/>
  <c r="J308" i="73"/>
  <c r="K308" i="73" s="1"/>
  <c r="J312" i="73"/>
  <c r="K312" i="73" s="1"/>
  <c r="J321" i="73"/>
  <c r="K321" i="73" s="1"/>
  <c r="J322" i="73"/>
  <c r="K322" i="73" s="1"/>
  <c r="J324" i="73"/>
  <c r="K324" i="73" s="1"/>
  <c r="J328" i="73"/>
  <c r="K328" i="73" s="1"/>
  <c r="J354" i="73"/>
  <c r="K354" i="73" s="1"/>
  <c r="J384" i="73"/>
  <c r="K384" i="73" s="1"/>
  <c r="J389" i="73"/>
  <c r="K389" i="73" s="1"/>
  <c r="J394" i="73"/>
  <c r="K394" i="73" s="1"/>
  <c r="J402" i="73"/>
  <c r="K402" i="73" s="1"/>
  <c r="J405" i="73"/>
  <c r="K405" i="73" s="1"/>
  <c r="J406" i="73"/>
  <c r="K406" i="73" s="1"/>
  <c r="J410" i="73"/>
  <c r="K410" i="73" s="1"/>
  <c r="J35" i="73"/>
  <c r="K35" i="73" s="1"/>
  <c r="J36" i="73"/>
  <c r="K36" i="73" s="1"/>
  <c r="J37" i="73"/>
  <c r="K37" i="73" s="1"/>
  <c r="J38" i="73"/>
  <c r="K38" i="73" s="1"/>
  <c r="J39" i="73"/>
  <c r="K39" i="73" s="1"/>
  <c r="J40" i="73"/>
  <c r="K40" i="73" s="1"/>
  <c r="J85" i="73"/>
  <c r="K85" i="73" s="1"/>
  <c r="J100" i="73"/>
  <c r="K100" i="73" s="1"/>
  <c r="J127" i="73"/>
  <c r="K127" i="73" s="1"/>
  <c r="J175" i="73"/>
  <c r="K175" i="73" s="1"/>
  <c r="J176" i="73"/>
  <c r="K176" i="73" s="1"/>
  <c r="J177" i="73"/>
  <c r="K177" i="73" s="1"/>
  <c r="J180" i="73"/>
  <c r="K180" i="73" s="1"/>
  <c r="J194" i="73"/>
  <c r="K194" i="73" s="1"/>
  <c r="J195" i="73"/>
  <c r="K195" i="73" s="1"/>
  <c r="J196" i="73"/>
  <c r="K196" i="73" s="1"/>
  <c r="J197" i="73"/>
  <c r="K197" i="73" s="1"/>
  <c r="J198" i="73"/>
  <c r="K198" i="73" s="1"/>
  <c r="J199" i="73"/>
  <c r="K199" i="73" s="1"/>
  <c r="J200" i="73"/>
  <c r="K200" i="73" s="1"/>
  <c r="J201" i="73"/>
  <c r="K201" i="73" s="1"/>
  <c r="J202" i="73"/>
  <c r="K202" i="73" s="1"/>
  <c r="J203" i="73"/>
  <c r="K203" i="73" s="1"/>
  <c r="J204" i="73"/>
  <c r="K204" i="73" s="1"/>
  <c r="J205" i="73"/>
  <c r="K205" i="73" s="1"/>
  <c r="J206" i="73"/>
  <c r="K206" i="73" s="1"/>
  <c r="J207" i="73"/>
  <c r="K207" i="73" s="1"/>
  <c r="J209" i="73"/>
  <c r="K209" i="73" s="1"/>
  <c r="J208" i="73"/>
  <c r="K208" i="73" s="1"/>
  <c r="J210" i="73"/>
  <c r="K210" i="73" s="1"/>
  <c r="J211" i="73"/>
  <c r="K211" i="73" s="1"/>
  <c r="J212" i="73"/>
  <c r="K212" i="73" s="1"/>
  <c r="J213" i="73"/>
  <c r="K213" i="73" s="1"/>
  <c r="J214" i="73"/>
  <c r="K214" i="73" s="1"/>
  <c r="J215" i="73"/>
  <c r="K215" i="73" s="1"/>
  <c r="J216" i="73"/>
  <c r="K216" i="73" s="1"/>
  <c r="J244" i="73"/>
  <c r="K244" i="73" s="1"/>
  <c r="J249" i="73"/>
  <c r="K249" i="73" s="1"/>
  <c r="J252" i="73"/>
  <c r="K252" i="73" s="1"/>
  <c r="J258" i="73"/>
  <c r="K258" i="73" s="1"/>
  <c r="J316" i="73"/>
  <c r="K316" i="73" s="1"/>
  <c r="J356" i="73"/>
  <c r="K356" i="73" s="1"/>
  <c r="J387" i="73"/>
  <c r="K387" i="73" s="1"/>
  <c r="J395" i="73"/>
  <c r="K395" i="73" s="1"/>
  <c r="J396" i="73"/>
  <c r="K396" i="73" s="1"/>
  <c r="J397" i="73"/>
  <c r="K397" i="73" s="1"/>
  <c r="J398" i="73"/>
  <c r="K398" i="73" s="1"/>
  <c r="J404" i="73"/>
  <c r="K404" i="73" s="1"/>
  <c r="J422" i="73"/>
  <c r="K422" i="73" s="1"/>
  <c r="J424" i="73"/>
  <c r="K424" i="73" s="1"/>
  <c r="J425" i="73"/>
  <c r="K425" i="73" s="1"/>
  <c r="J6" i="73"/>
  <c r="K6" i="73" s="1"/>
  <c r="J63" i="64"/>
  <c r="K63" i="64" s="1"/>
  <c r="I8" i="72" l="1"/>
  <c r="P8" i="72" l="1"/>
  <c r="R8" i="72" s="1"/>
  <c r="P9" i="72"/>
  <c r="R9" i="72" s="1"/>
  <c r="P10" i="72"/>
  <c r="Q10" i="72" s="1"/>
  <c r="P11" i="72"/>
  <c r="Q11" i="72" s="1"/>
  <c r="P12" i="72"/>
  <c r="R12" i="72" s="1"/>
  <c r="P13" i="72"/>
  <c r="R13" i="72" s="1"/>
  <c r="P14" i="72"/>
  <c r="R14" i="72" s="1"/>
  <c r="P15" i="72"/>
  <c r="Q15" i="72" s="1"/>
  <c r="P16" i="72"/>
  <c r="Q16" i="72" s="1"/>
  <c r="P17" i="72"/>
  <c r="R17" i="72" s="1"/>
  <c r="P18" i="72"/>
  <c r="R18" i="72" s="1"/>
  <c r="P19" i="72"/>
  <c r="Q19" i="72" s="1"/>
  <c r="P20" i="72"/>
  <c r="R20" i="72" s="1"/>
  <c r="P21" i="72"/>
  <c r="R21" i="72" s="1"/>
  <c r="P22" i="72"/>
  <c r="R22" i="72" s="1"/>
  <c r="P23" i="72"/>
  <c r="Q23" i="72" s="1"/>
  <c r="P24" i="72"/>
  <c r="R24" i="72" s="1"/>
  <c r="P25" i="72"/>
  <c r="R25" i="72" s="1"/>
  <c r="P26" i="72"/>
  <c r="R26" i="72" s="1"/>
  <c r="P27" i="72"/>
  <c r="Q27" i="72" s="1"/>
  <c r="P28" i="72"/>
  <c r="R28" i="72" s="1"/>
  <c r="P29" i="72"/>
  <c r="Q29" i="72" s="1"/>
  <c r="P30" i="72"/>
  <c r="Q30" i="72" s="1"/>
  <c r="P31" i="72"/>
  <c r="Q31" i="72" s="1"/>
  <c r="P32" i="72"/>
  <c r="R32" i="72" s="1"/>
  <c r="P33" i="72"/>
  <c r="Q33" i="72" s="1"/>
  <c r="P34" i="72"/>
  <c r="R34" i="72" s="1"/>
  <c r="P35" i="72"/>
  <c r="Q35" i="72" s="1"/>
  <c r="P36" i="72"/>
  <c r="R36" i="72" s="1"/>
  <c r="P37" i="72"/>
  <c r="R37" i="72" s="1"/>
  <c r="P38" i="72"/>
  <c r="Q38" i="72" s="1"/>
  <c r="P39" i="72"/>
  <c r="Q39" i="72" s="1"/>
  <c r="P40" i="72"/>
  <c r="R40" i="72" s="1"/>
  <c r="P41" i="72"/>
  <c r="R41" i="72" s="1"/>
  <c r="P42" i="72"/>
  <c r="Q42" i="72" s="1"/>
  <c r="P43" i="72"/>
  <c r="Q43" i="72" s="1"/>
  <c r="P44" i="72"/>
  <c r="R44" i="72" s="1"/>
  <c r="P45" i="72"/>
  <c r="R45" i="72" s="1"/>
  <c r="P46" i="72"/>
  <c r="Q46" i="72" s="1"/>
  <c r="P47" i="72"/>
  <c r="Q47" i="72" s="1"/>
  <c r="P48" i="72"/>
  <c r="R48" i="72" s="1"/>
  <c r="P49" i="72"/>
  <c r="R49" i="72" s="1"/>
  <c r="P50" i="72"/>
  <c r="Q50" i="72" s="1"/>
  <c r="P51" i="72"/>
  <c r="Q51" i="72" s="1"/>
  <c r="P52" i="72"/>
  <c r="R52" i="72" s="1"/>
  <c r="P53" i="72"/>
  <c r="R53" i="72" s="1"/>
  <c r="P54" i="72"/>
  <c r="R54" i="72" s="1"/>
  <c r="P55" i="72"/>
  <c r="Q55" i="72" s="1"/>
  <c r="P56" i="72"/>
  <c r="R56" i="72" s="1"/>
  <c r="P57" i="72"/>
  <c r="R57" i="72" s="1"/>
  <c r="P58" i="72"/>
  <c r="R58" i="72" s="1"/>
  <c r="P59" i="72"/>
  <c r="Q59" i="72" s="1"/>
  <c r="P60" i="72"/>
  <c r="R60" i="72" s="1"/>
  <c r="P61" i="72"/>
  <c r="R61" i="72" s="1"/>
  <c r="P62" i="72"/>
  <c r="Q62" i="72" s="1"/>
  <c r="P63" i="72"/>
  <c r="Q63" i="72" s="1"/>
  <c r="P64" i="72"/>
  <c r="R64" i="72" s="1"/>
  <c r="P65" i="72"/>
  <c r="Q65" i="72" s="1"/>
  <c r="P66" i="72"/>
  <c r="R66" i="72" s="1"/>
  <c r="P67" i="72"/>
  <c r="Q67" i="72" s="1"/>
  <c r="P68" i="72"/>
  <c r="R68" i="72" s="1"/>
  <c r="P69" i="72"/>
  <c r="Q69" i="72" s="1"/>
  <c r="P70" i="72"/>
  <c r="R70" i="72" s="1"/>
  <c r="P71" i="72"/>
  <c r="Q71" i="72" s="1"/>
  <c r="P72" i="72"/>
  <c r="R72" i="72" s="1"/>
  <c r="P73" i="72"/>
  <c r="Q73" i="72" s="1"/>
  <c r="P74" i="72"/>
  <c r="Q74" i="72" s="1"/>
  <c r="P75" i="72"/>
  <c r="Q75" i="72" s="1"/>
  <c r="P76" i="72"/>
  <c r="R76" i="72" s="1"/>
  <c r="P77" i="72"/>
  <c r="Q77" i="72" s="1"/>
  <c r="P78" i="72"/>
  <c r="Q78" i="72" s="1"/>
  <c r="P79" i="72"/>
  <c r="Q79" i="72" s="1"/>
  <c r="P80" i="72"/>
  <c r="R80" i="72" s="1"/>
  <c r="P81" i="72"/>
  <c r="Q81" i="72" s="1"/>
  <c r="P82" i="72"/>
  <c r="Q82" i="72" s="1"/>
  <c r="P83" i="72"/>
  <c r="Q83" i="72" s="1"/>
  <c r="P84" i="72"/>
  <c r="R84" i="72" s="1"/>
  <c r="P85" i="72"/>
  <c r="R85" i="72" s="1"/>
  <c r="P86" i="72"/>
  <c r="R86" i="72" s="1"/>
  <c r="P87" i="72"/>
  <c r="Q87" i="72" s="1"/>
  <c r="P88" i="72"/>
  <c r="R88" i="72" s="1"/>
  <c r="P89" i="72"/>
  <c r="R89" i="72" s="1"/>
  <c r="P90" i="72"/>
  <c r="Q90" i="72" s="1"/>
  <c r="P91" i="72"/>
  <c r="Q91" i="72" s="1"/>
  <c r="P92" i="72"/>
  <c r="R92" i="72" s="1"/>
  <c r="P93" i="72"/>
  <c r="Q93" i="72" s="1"/>
  <c r="P94" i="72"/>
  <c r="R94" i="72" s="1"/>
  <c r="P95" i="72"/>
  <c r="Q95" i="72" s="1"/>
  <c r="P96" i="72"/>
  <c r="R96" i="72" s="1"/>
  <c r="P97" i="72"/>
  <c r="R97" i="72" s="1"/>
  <c r="P98" i="72"/>
  <c r="Q98" i="72" s="1"/>
  <c r="P99" i="72"/>
  <c r="Q99" i="72" s="1"/>
  <c r="P100" i="72"/>
  <c r="R100" i="72" s="1"/>
  <c r="P101" i="72"/>
  <c r="Q101" i="72" s="1"/>
  <c r="P102" i="72"/>
  <c r="Q102" i="72" s="1"/>
  <c r="P103" i="72"/>
  <c r="Q103" i="72" s="1"/>
  <c r="P104" i="72"/>
  <c r="R104" i="72" s="1"/>
  <c r="P105" i="72"/>
  <c r="Q105" i="72" s="1"/>
  <c r="P106" i="72"/>
  <c r="Q106" i="72" s="1"/>
  <c r="P107" i="72"/>
  <c r="Q107" i="72" s="1"/>
  <c r="P108" i="72"/>
  <c r="R108" i="72" s="1"/>
  <c r="P109" i="72"/>
  <c r="Q109" i="72" s="1"/>
  <c r="P110" i="72"/>
  <c r="Q110" i="72" s="1"/>
  <c r="P111" i="72"/>
  <c r="Q111" i="72" s="1"/>
  <c r="P112" i="72"/>
  <c r="R112" i="72" s="1"/>
  <c r="P113" i="72"/>
  <c r="Q113" i="72" s="1"/>
  <c r="P114" i="72"/>
  <c r="Q114" i="72" s="1"/>
  <c r="P115" i="72"/>
  <c r="Q115" i="72" s="1"/>
  <c r="P116" i="72"/>
  <c r="R116" i="72" s="1"/>
  <c r="P117" i="72"/>
  <c r="Q117" i="72" s="1"/>
  <c r="P118" i="72"/>
  <c r="Q118" i="72" s="1"/>
  <c r="P119" i="72"/>
  <c r="Q119" i="72" s="1"/>
  <c r="P120" i="72"/>
  <c r="R120" i="72" s="1"/>
  <c r="P121" i="72"/>
  <c r="Q121" i="72" s="1"/>
  <c r="P122" i="72"/>
  <c r="Q122" i="72" s="1"/>
  <c r="P123" i="72"/>
  <c r="Q123" i="72" s="1"/>
  <c r="P124" i="72"/>
  <c r="R124" i="72" s="1"/>
  <c r="P125" i="72"/>
  <c r="Q125" i="72" s="1"/>
  <c r="P126" i="72"/>
  <c r="Q126" i="72" s="1"/>
  <c r="P127" i="72"/>
  <c r="Q127" i="72" s="1"/>
  <c r="P128" i="72"/>
  <c r="R128" i="72" s="1"/>
  <c r="P129" i="72"/>
  <c r="Q129" i="72" s="1"/>
  <c r="R130" i="72"/>
  <c r="P131" i="72"/>
  <c r="Q131" i="72" s="1"/>
  <c r="P132" i="72"/>
  <c r="R132" i="72" s="1"/>
  <c r="P133" i="72"/>
  <c r="Q133" i="72" s="1"/>
  <c r="P134" i="72"/>
  <c r="R134" i="72" s="1"/>
  <c r="P135" i="72"/>
  <c r="Q135" i="72" s="1"/>
  <c r="P136" i="72"/>
  <c r="R136" i="72" s="1"/>
  <c r="P137" i="72"/>
  <c r="Q137" i="72" s="1"/>
  <c r="P138" i="72"/>
  <c r="R138" i="72" s="1"/>
  <c r="P139" i="72"/>
  <c r="Q139" i="72" s="1"/>
  <c r="P140" i="72"/>
  <c r="R140" i="72" s="1"/>
  <c r="P141" i="72"/>
  <c r="Q141" i="72" s="1"/>
  <c r="P142" i="72"/>
  <c r="R142" i="72" s="1"/>
  <c r="P143" i="72"/>
  <c r="Q143" i="72" s="1"/>
  <c r="P144" i="72"/>
  <c r="R144" i="72" s="1"/>
  <c r="P145" i="72"/>
  <c r="Q145" i="72" s="1"/>
  <c r="P146" i="72"/>
  <c r="R146" i="72" s="1"/>
  <c r="P147" i="72"/>
  <c r="Q147" i="72" s="1"/>
  <c r="P148" i="72"/>
  <c r="R148" i="72" s="1"/>
  <c r="P149" i="72"/>
  <c r="Q149" i="72" s="1"/>
  <c r="P150" i="72"/>
  <c r="R150" i="72" s="1"/>
  <c r="P151" i="72"/>
  <c r="Q151" i="72" s="1"/>
  <c r="P152" i="72"/>
  <c r="R152" i="72" s="1"/>
  <c r="P153" i="72"/>
  <c r="Q153" i="72" s="1"/>
  <c r="P154" i="72"/>
  <c r="R154" i="72" s="1"/>
  <c r="P155" i="72"/>
  <c r="P156" i="72"/>
  <c r="R156" i="72" s="1"/>
  <c r="P157" i="72"/>
  <c r="Q157" i="72" s="1"/>
  <c r="P158" i="72"/>
  <c r="R158" i="72" s="1"/>
  <c r="P159" i="72"/>
  <c r="P160" i="72"/>
  <c r="R160" i="72" s="1"/>
  <c r="P161" i="72"/>
  <c r="Q161" i="72" s="1"/>
  <c r="P162" i="72"/>
  <c r="R162" i="72" s="1"/>
  <c r="P163" i="72"/>
  <c r="P164" i="72"/>
  <c r="R164" i="72" s="1"/>
  <c r="P165" i="72"/>
  <c r="Q165" i="72" s="1"/>
  <c r="P166" i="72"/>
  <c r="R166" i="72" s="1"/>
  <c r="P167" i="72"/>
  <c r="P168" i="72"/>
  <c r="R168" i="72" s="1"/>
  <c r="P169" i="72"/>
  <c r="Q169" i="72" s="1"/>
  <c r="P170" i="72"/>
  <c r="Q170" i="72" s="1"/>
  <c r="P171" i="72"/>
  <c r="Q171" i="72" s="1"/>
  <c r="P172" i="72"/>
  <c r="R172" i="72" s="1"/>
  <c r="P173" i="72"/>
  <c r="Q173" i="72" s="1"/>
  <c r="P174" i="72"/>
  <c r="Q174" i="72" s="1"/>
  <c r="P175" i="72"/>
  <c r="Q175" i="72" s="1"/>
  <c r="P176" i="72"/>
  <c r="R176" i="72" s="1"/>
  <c r="P177" i="72"/>
  <c r="Q177" i="72" s="1"/>
  <c r="P178" i="72"/>
  <c r="Q178" i="72" s="1"/>
  <c r="P179" i="72"/>
  <c r="Q179" i="72" s="1"/>
  <c r="P180" i="72"/>
  <c r="R180" i="72" s="1"/>
  <c r="P181" i="72"/>
  <c r="R181" i="72" s="1"/>
  <c r="P182" i="72"/>
  <c r="Q182" i="72" s="1"/>
  <c r="P183" i="72"/>
  <c r="Q183" i="72" s="1"/>
  <c r="P7" i="72"/>
  <c r="R7" i="72" s="1"/>
  <c r="P7" i="60"/>
  <c r="Q7" i="60" s="1"/>
  <c r="H16" i="72"/>
  <c r="I16" i="72"/>
  <c r="J16" i="72"/>
  <c r="H47" i="72"/>
  <c r="I47" i="72"/>
  <c r="J47" i="72"/>
  <c r="H52" i="72"/>
  <c r="I52" i="72"/>
  <c r="J52" i="72"/>
  <c r="H53" i="72"/>
  <c r="I53" i="72"/>
  <c r="J53" i="72"/>
  <c r="H104" i="72"/>
  <c r="I104" i="72"/>
  <c r="J104" i="72"/>
  <c r="H134" i="72"/>
  <c r="I134" i="72"/>
  <c r="J134" i="72"/>
  <c r="H55" i="72"/>
  <c r="I55" i="72"/>
  <c r="J55" i="72"/>
  <c r="H131" i="72"/>
  <c r="I131" i="72"/>
  <c r="J131" i="72"/>
  <c r="H132" i="72"/>
  <c r="I132" i="72"/>
  <c r="J132" i="72"/>
  <c r="H9" i="72"/>
  <c r="I9" i="72"/>
  <c r="J9" i="72"/>
  <c r="H27" i="72"/>
  <c r="I27" i="72"/>
  <c r="J27" i="72"/>
  <c r="H28" i="72"/>
  <c r="I28" i="72"/>
  <c r="J28" i="72"/>
  <c r="H66" i="72"/>
  <c r="I66" i="72"/>
  <c r="J66" i="72"/>
  <c r="H102" i="72"/>
  <c r="I102" i="72"/>
  <c r="J102" i="72"/>
  <c r="H133" i="72"/>
  <c r="I133" i="72"/>
  <c r="J133" i="72"/>
  <c r="H141" i="72"/>
  <c r="I141" i="72"/>
  <c r="J141" i="72"/>
  <c r="H144" i="72"/>
  <c r="I144" i="72"/>
  <c r="J144" i="72"/>
  <c r="H145" i="72"/>
  <c r="I145" i="72"/>
  <c r="J145" i="72"/>
  <c r="H163" i="72"/>
  <c r="I163" i="72"/>
  <c r="J163" i="72"/>
  <c r="H121" i="72"/>
  <c r="I121" i="72"/>
  <c r="J121" i="72"/>
  <c r="H13" i="72"/>
  <c r="I13" i="72"/>
  <c r="J13" i="72"/>
  <c r="H29" i="72"/>
  <c r="I29" i="72"/>
  <c r="J29" i="72"/>
  <c r="H30" i="72"/>
  <c r="I30" i="72"/>
  <c r="J30" i="72"/>
  <c r="H42" i="72"/>
  <c r="I42" i="72"/>
  <c r="J42" i="72"/>
  <c r="H85" i="72"/>
  <c r="I85" i="72"/>
  <c r="J85" i="72"/>
  <c r="H110" i="72"/>
  <c r="I110" i="72"/>
  <c r="J110" i="72"/>
  <c r="H180" i="72"/>
  <c r="I180" i="72"/>
  <c r="J180" i="72"/>
  <c r="H17" i="72"/>
  <c r="I17" i="72"/>
  <c r="J17" i="72"/>
  <c r="H26" i="72"/>
  <c r="I26" i="72"/>
  <c r="J26" i="72"/>
  <c r="H31" i="72"/>
  <c r="I31" i="72"/>
  <c r="J31" i="72"/>
  <c r="H32" i="72"/>
  <c r="I32" i="72"/>
  <c r="J32" i="72"/>
  <c r="H33" i="72"/>
  <c r="I33" i="72"/>
  <c r="J33" i="72"/>
  <c r="H40" i="72"/>
  <c r="I40" i="72"/>
  <c r="J40" i="72"/>
  <c r="H41" i="72"/>
  <c r="I41" i="72"/>
  <c r="J41" i="72"/>
  <c r="H73" i="72"/>
  <c r="I73" i="72"/>
  <c r="J73" i="72"/>
  <c r="H79" i="72"/>
  <c r="I79" i="72"/>
  <c r="J79" i="72"/>
  <c r="H101" i="72"/>
  <c r="I101" i="72"/>
  <c r="J101" i="72"/>
  <c r="H138" i="72"/>
  <c r="I138" i="72"/>
  <c r="J138" i="72"/>
  <c r="H139" i="72"/>
  <c r="I139" i="72"/>
  <c r="J139" i="72"/>
  <c r="H149" i="72"/>
  <c r="I149" i="72"/>
  <c r="J149" i="72"/>
  <c r="H162" i="72"/>
  <c r="I162" i="72"/>
  <c r="J162" i="72"/>
  <c r="H164" i="72"/>
  <c r="I164" i="72"/>
  <c r="J164" i="72"/>
  <c r="H165" i="72"/>
  <c r="I165" i="72"/>
  <c r="J165" i="72"/>
  <c r="H167" i="72"/>
  <c r="I167" i="72"/>
  <c r="J167" i="72"/>
  <c r="H168" i="72"/>
  <c r="I168" i="72"/>
  <c r="J168" i="72"/>
  <c r="H8" i="72"/>
  <c r="J8" i="72"/>
  <c r="H14" i="72"/>
  <c r="I14" i="72"/>
  <c r="J14" i="72"/>
  <c r="H19" i="72"/>
  <c r="I19" i="72"/>
  <c r="J19" i="72"/>
  <c r="H37" i="72"/>
  <c r="I37" i="72"/>
  <c r="J37" i="72"/>
  <c r="H49" i="72"/>
  <c r="I49" i="72"/>
  <c r="J49" i="72"/>
  <c r="H75" i="72"/>
  <c r="I75" i="72"/>
  <c r="J75" i="72"/>
  <c r="H106" i="72"/>
  <c r="I106" i="72"/>
  <c r="J106" i="72"/>
  <c r="H107" i="72"/>
  <c r="I107" i="72"/>
  <c r="J107" i="72"/>
  <c r="H117" i="72"/>
  <c r="I117" i="72"/>
  <c r="J117" i="72"/>
  <c r="H120" i="72"/>
  <c r="I120" i="72"/>
  <c r="J120" i="72"/>
  <c r="H152" i="72"/>
  <c r="I152" i="72"/>
  <c r="J152" i="72"/>
  <c r="H153" i="72"/>
  <c r="I153" i="72"/>
  <c r="J153" i="72"/>
  <c r="H155" i="72"/>
  <c r="I155" i="72"/>
  <c r="J155" i="72"/>
  <c r="H169" i="72"/>
  <c r="I169" i="72"/>
  <c r="J169" i="72"/>
  <c r="H172" i="72"/>
  <c r="I172" i="72"/>
  <c r="J172" i="72"/>
  <c r="H173" i="72"/>
  <c r="I173" i="72"/>
  <c r="J173" i="72"/>
  <c r="H36" i="72"/>
  <c r="I36" i="72"/>
  <c r="J36" i="72"/>
  <c r="H80" i="72"/>
  <c r="I80" i="72"/>
  <c r="J80" i="72"/>
  <c r="H112" i="72"/>
  <c r="I112" i="72"/>
  <c r="J112" i="72"/>
  <c r="H181" i="72"/>
  <c r="I181" i="72"/>
  <c r="J181" i="72"/>
  <c r="H11" i="72"/>
  <c r="I11" i="72"/>
  <c r="J11" i="72"/>
  <c r="H43" i="72"/>
  <c r="I43" i="72"/>
  <c r="J43" i="72"/>
  <c r="H91" i="72"/>
  <c r="I91" i="72"/>
  <c r="J91" i="72"/>
  <c r="H140" i="72"/>
  <c r="I140" i="72"/>
  <c r="J140" i="72"/>
  <c r="H174" i="72"/>
  <c r="I174" i="72"/>
  <c r="J174" i="72"/>
  <c r="H20" i="72"/>
  <c r="I20" i="72"/>
  <c r="J20" i="72"/>
  <c r="H34" i="72"/>
  <c r="I34" i="72"/>
  <c r="J34" i="72"/>
  <c r="H35" i="72"/>
  <c r="I35" i="72"/>
  <c r="J35" i="72"/>
  <c r="H50" i="72"/>
  <c r="I50" i="72"/>
  <c r="J50" i="72"/>
  <c r="H59" i="72"/>
  <c r="I59" i="72"/>
  <c r="J59" i="72"/>
  <c r="H60" i="72"/>
  <c r="I60" i="72"/>
  <c r="J60" i="72"/>
  <c r="H61" i="72"/>
  <c r="I61" i="72"/>
  <c r="J61" i="72"/>
  <c r="H72" i="72"/>
  <c r="I72" i="72"/>
  <c r="J72" i="72"/>
  <c r="H84" i="72"/>
  <c r="I84" i="72"/>
  <c r="J84" i="72"/>
  <c r="H114" i="72"/>
  <c r="I114" i="72"/>
  <c r="J114" i="72"/>
  <c r="H115" i="72"/>
  <c r="I115" i="72"/>
  <c r="J115" i="72"/>
  <c r="H154" i="72"/>
  <c r="I154" i="72"/>
  <c r="J154" i="72"/>
  <c r="H176" i="72"/>
  <c r="I176" i="72"/>
  <c r="J176" i="72"/>
  <c r="H44" i="72"/>
  <c r="I44" i="72"/>
  <c r="J44" i="72"/>
  <c r="H45" i="72"/>
  <c r="I45" i="72"/>
  <c r="J45" i="72"/>
  <c r="H46" i="72"/>
  <c r="I46" i="72"/>
  <c r="J46" i="72"/>
  <c r="H76" i="72"/>
  <c r="I76" i="72"/>
  <c r="J76" i="72"/>
  <c r="H77" i="72"/>
  <c r="I77" i="72"/>
  <c r="J77" i="72"/>
  <c r="H82" i="72"/>
  <c r="I82" i="72"/>
  <c r="J82" i="72"/>
  <c r="H83" i="72"/>
  <c r="I83" i="72"/>
  <c r="J83" i="72"/>
  <c r="H161" i="72"/>
  <c r="I161" i="72"/>
  <c r="J161" i="72"/>
  <c r="H166" i="72"/>
  <c r="I166" i="72"/>
  <c r="J166" i="72"/>
  <c r="H81" i="72"/>
  <c r="I81" i="72"/>
  <c r="J81" i="72"/>
  <c r="H94" i="72"/>
  <c r="I94" i="72"/>
  <c r="J94" i="72"/>
  <c r="H95" i="72"/>
  <c r="I95" i="72"/>
  <c r="J95" i="72"/>
  <c r="H78" i="72"/>
  <c r="I78" i="72"/>
  <c r="J78" i="72"/>
  <c r="H109" i="72"/>
  <c r="I109" i="72"/>
  <c r="J109" i="72"/>
  <c r="H182" i="72"/>
  <c r="I182" i="72"/>
  <c r="J182" i="72"/>
  <c r="H183" i="72"/>
  <c r="I183" i="72"/>
  <c r="J183" i="72"/>
  <c r="H70" i="72"/>
  <c r="I70" i="72"/>
  <c r="J70" i="72"/>
  <c r="H92" i="72"/>
  <c r="I92" i="72"/>
  <c r="J92" i="72"/>
  <c r="H100" i="72"/>
  <c r="I100" i="72"/>
  <c r="J100" i="72"/>
  <c r="H103" i="72"/>
  <c r="I103" i="72"/>
  <c r="J103" i="72"/>
  <c r="H175" i="72"/>
  <c r="I175" i="72"/>
  <c r="J175" i="72"/>
  <c r="H111" i="72"/>
  <c r="I111" i="72"/>
  <c r="J111" i="72"/>
  <c r="H116" i="72"/>
  <c r="I116" i="72"/>
  <c r="J116" i="72"/>
  <c r="H143" i="72"/>
  <c r="I143" i="72"/>
  <c r="J143" i="72"/>
  <c r="H18" i="72"/>
  <c r="I18" i="72"/>
  <c r="J18" i="72"/>
  <c r="H24" i="72"/>
  <c r="I24" i="72"/>
  <c r="J24" i="72"/>
  <c r="H25" i="72"/>
  <c r="I25" i="72"/>
  <c r="J25" i="72"/>
  <c r="H93" i="72"/>
  <c r="I93" i="72"/>
  <c r="J93" i="72"/>
  <c r="H108" i="72"/>
  <c r="I108" i="72"/>
  <c r="J108" i="72"/>
  <c r="H170" i="72"/>
  <c r="I170" i="72"/>
  <c r="J170" i="72"/>
  <c r="H23" i="72"/>
  <c r="I23" i="72"/>
  <c r="J23" i="72"/>
  <c r="H56" i="72"/>
  <c r="I56" i="72"/>
  <c r="J56" i="72"/>
  <c r="H64" i="72"/>
  <c r="I64" i="72"/>
  <c r="J64" i="72"/>
  <c r="H125" i="72"/>
  <c r="I125" i="72"/>
  <c r="J125" i="72"/>
  <c r="H128" i="72"/>
  <c r="I128" i="72"/>
  <c r="J128" i="72"/>
  <c r="H129" i="72"/>
  <c r="I129" i="72"/>
  <c r="J129" i="72"/>
  <c r="H71" i="72"/>
  <c r="I71" i="72"/>
  <c r="J71" i="72"/>
  <c r="H156" i="72"/>
  <c r="I156" i="72"/>
  <c r="J156" i="72"/>
  <c r="H39" i="72"/>
  <c r="I39" i="72"/>
  <c r="J39" i="72"/>
  <c r="H38" i="72"/>
  <c r="I38" i="72"/>
  <c r="J38" i="72"/>
  <c r="H57" i="72"/>
  <c r="I57" i="72"/>
  <c r="J57" i="72"/>
  <c r="H58" i="72"/>
  <c r="I58" i="72"/>
  <c r="J58" i="72"/>
  <c r="H96" i="72"/>
  <c r="I96" i="72"/>
  <c r="J96" i="72"/>
  <c r="H97" i="72"/>
  <c r="I97" i="72"/>
  <c r="J97" i="72"/>
  <c r="H122" i="72"/>
  <c r="I122" i="72"/>
  <c r="J122" i="72"/>
  <c r="H123" i="72"/>
  <c r="I123" i="72"/>
  <c r="J123" i="72"/>
  <c r="H124" i="72"/>
  <c r="I124" i="72"/>
  <c r="J124" i="72"/>
  <c r="H130" i="72"/>
  <c r="I130" i="72"/>
  <c r="J130" i="72"/>
  <c r="H113" i="72"/>
  <c r="I113" i="72"/>
  <c r="J113" i="72"/>
  <c r="H146" i="72"/>
  <c r="I146" i="72"/>
  <c r="J146" i="72"/>
  <c r="H147" i="72"/>
  <c r="I147" i="72"/>
  <c r="J147" i="72"/>
  <c r="H10" i="72"/>
  <c r="I10" i="72"/>
  <c r="J10" i="72"/>
  <c r="H12" i="72"/>
  <c r="I12" i="72"/>
  <c r="J12" i="72"/>
  <c r="H48" i="72"/>
  <c r="I48" i="72"/>
  <c r="J48" i="72"/>
  <c r="H63" i="72"/>
  <c r="I63" i="72"/>
  <c r="J63" i="72"/>
  <c r="H62" i="72"/>
  <c r="I62" i="72"/>
  <c r="J62" i="72"/>
  <c r="H67" i="72"/>
  <c r="I67" i="72"/>
  <c r="J67" i="72"/>
  <c r="H74" i="72"/>
  <c r="I74" i="72"/>
  <c r="J74" i="72"/>
  <c r="H86" i="72"/>
  <c r="I86" i="72"/>
  <c r="J86" i="72"/>
  <c r="H87" i="72"/>
  <c r="I87" i="72"/>
  <c r="J87" i="72"/>
  <c r="H88" i="72"/>
  <c r="I88" i="72"/>
  <c r="J88" i="72"/>
  <c r="H89" i="72"/>
  <c r="I89" i="72"/>
  <c r="J89" i="72"/>
  <c r="H90" i="72"/>
  <c r="I90" i="72"/>
  <c r="J90" i="72"/>
  <c r="H118" i="72"/>
  <c r="I118" i="72"/>
  <c r="J118" i="72"/>
  <c r="H119" i="72"/>
  <c r="I119" i="72"/>
  <c r="J119" i="72"/>
  <c r="H51" i="72"/>
  <c r="I51" i="72"/>
  <c r="J51" i="72"/>
  <c r="H148" i="72"/>
  <c r="I148" i="72"/>
  <c r="J148" i="72"/>
  <c r="H54" i="72"/>
  <c r="I54" i="72"/>
  <c r="J54" i="72"/>
  <c r="H98" i="72"/>
  <c r="I98" i="72"/>
  <c r="J98" i="72"/>
  <c r="H105" i="72"/>
  <c r="I105" i="72"/>
  <c r="J105" i="72"/>
  <c r="H68" i="72"/>
  <c r="I68" i="72"/>
  <c r="J68" i="72"/>
  <c r="H99" i="72"/>
  <c r="I99" i="72"/>
  <c r="J99" i="72"/>
  <c r="H157" i="72"/>
  <c r="I157" i="72"/>
  <c r="J157" i="72"/>
  <c r="H158" i="72"/>
  <c r="I158" i="72"/>
  <c r="J158" i="72"/>
  <c r="H159" i="72"/>
  <c r="I159" i="72"/>
  <c r="J159" i="72"/>
  <c r="H160" i="72"/>
  <c r="I160" i="72"/>
  <c r="J160" i="72"/>
  <c r="H21" i="72"/>
  <c r="I21" i="72"/>
  <c r="J21" i="72"/>
  <c r="H22" i="72"/>
  <c r="I22" i="72"/>
  <c r="J22" i="72"/>
  <c r="H135" i="72"/>
  <c r="I135" i="72"/>
  <c r="J135" i="72"/>
  <c r="H142" i="72"/>
  <c r="I142" i="72"/>
  <c r="J142" i="72"/>
  <c r="H150" i="72"/>
  <c r="I150" i="72"/>
  <c r="J150" i="72"/>
  <c r="H151" i="72"/>
  <c r="I151" i="72"/>
  <c r="J151" i="72"/>
  <c r="H171" i="72"/>
  <c r="I171" i="72"/>
  <c r="J171" i="72"/>
  <c r="H179" i="72"/>
  <c r="I179" i="72"/>
  <c r="J179" i="72"/>
  <c r="H7" i="72"/>
  <c r="I7" i="72"/>
  <c r="J7" i="72"/>
  <c r="H65" i="72"/>
  <c r="I65" i="72"/>
  <c r="J65" i="72"/>
  <c r="H69" i="72"/>
  <c r="I69" i="72"/>
  <c r="J69" i="72"/>
  <c r="H126" i="72"/>
  <c r="I126" i="72"/>
  <c r="J126" i="72"/>
  <c r="H127" i="72"/>
  <c r="I127" i="72"/>
  <c r="J127" i="72"/>
  <c r="H136" i="72"/>
  <c r="I136" i="72"/>
  <c r="J136" i="72"/>
  <c r="H137" i="72"/>
  <c r="I137" i="72"/>
  <c r="J137" i="72"/>
  <c r="H177" i="72"/>
  <c r="I177" i="72"/>
  <c r="J177" i="72"/>
  <c r="H178" i="72"/>
  <c r="I178" i="72"/>
  <c r="J178" i="72"/>
  <c r="J15" i="72"/>
  <c r="J15" i="60"/>
  <c r="I15" i="72"/>
  <c r="I15" i="60"/>
  <c r="H15" i="72"/>
  <c r="H15" i="60"/>
  <c r="R7" i="60" l="1"/>
  <c r="K15" i="60"/>
  <c r="R62" i="72"/>
  <c r="R16" i="72"/>
  <c r="R38" i="72"/>
  <c r="R121" i="72"/>
  <c r="R113" i="72"/>
  <c r="K143" i="72"/>
  <c r="K103" i="72"/>
  <c r="K183" i="72"/>
  <c r="K95" i="72"/>
  <c r="K161" i="72"/>
  <c r="K76" i="72"/>
  <c r="Q150" i="72"/>
  <c r="R81" i="72"/>
  <c r="Q70" i="72"/>
  <c r="Q56" i="72"/>
  <c r="K127" i="72"/>
  <c r="K99" i="72"/>
  <c r="K54" i="72"/>
  <c r="K118" i="72"/>
  <c r="K87" i="72"/>
  <c r="K62" i="72"/>
  <c r="K96" i="72"/>
  <c r="K39" i="72"/>
  <c r="K128" i="72"/>
  <c r="K23" i="72"/>
  <c r="K25" i="72"/>
  <c r="K116" i="72"/>
  <c r="K100" i="72"/>
  <c r="K182" i="72"/>
  <c r="K94" i="72"/>
  <c r="K83" i="72"/>
  <c r="K46" i="72"/>
  <c r="Q132" i="72"/>
  <c r="R129" i="72"/>
  <c r="Q85" i="72"/>
  <c r="R46" i="72"/>
  <c r="Q25" i="72"/>
  <c r="K150" i="72"/>
  <c r="K21" i="72"/>
  <c r="K105" i="72"/>
  <c r="K89" i="72"/>
  <c r="K178" i="72"/>
  <c r="K7" i="72"/>
  <c r="K158" i="72"/>
  <c r="K51" i="72"/>
  <c r="K74" i="72"/>
  <c r="K48" i="72"/>
  <c r="K136" i="72"/>
  <c r="K65" i="72"/>
  <c r="K151" i="72"/>
  <c r="K22" i="72"/>
  <c r="K159" i="72"/>
  <c r="K68" i="72"/>
  <c r="K148" i="72"/>
  <c r="K90" i="72"/>
  <c r="K86" i="72"/>
  <c r="K63" i="72"/>
  <c r="K111" i="72"/>
  <c r="K92" i="72"/>
  <c r="K109" i="72"/>
  <c r="K81" i="72"/>
  <c r="K82" i="72"/>
  <c r="R169" i="72"/>
  <c r="Q162" i="72"/>
  <c r="Q60" i="72"/>
  <c r="Q40" i="72"/>
  <c r="Q21" i="72"/>
  <c r="K137" i="72"/>
  <c r="K69" i="72"/>
  <c r="K171" i="72"/>
  <c r="K135" i="72"/>
  <c r="R179" i="72"/>
  <c r="R117" i="72"/>
  <c r="R65" i="72"/>
  <c r="K177" i="72"/>
  <c r="K126" i="72"/>
  <c r="K179" i="72"/>
  <c r="K142" i="72"/>
  <c r="K160" i="72"/>
  <c r="K157" i="72"/>
  <c r="K98" i="72"/>
  <c r="K119" i="72"/>
  <c r="K88" i="72"/>
  <c r="K67" i="72"/>
  <c r="Q48" i="72"/>
  <c r="Q32" i="72"/>
  <c r="K12" i="72"/>
  <c r="K113" i="72"/>
  <c r="K122" i="72"/>
  <c r="K57" i="72"/>
  <c r="K71" i="72"/>
  <c r="K64" i="72"/>
  <c r="K108" i="72"/>
  <c r="K18" i="72"/>
  <c r="K175" i="72"/>
  <c r="K70" i="72"/>
  <c r="K78" i="72"/>
  <c r="K166" i="72"/>
  <c r="K77" i="72"/>
  <c r="R145" i="72"/>
  <c r="Q134" i="72"/>
  <c r="R125" i="72"/>
  <c r="R109" i="72"/>
  <c r="Q94" i="72"/>
  <c r="R178" i="72"/>
  <c r="R171" i="72"/>
  <c r="R165" i="72"/>
  <c r="Q160" i="72"/>
  <c r="Q158" i="72"/>
  <c r="Q156" i="72"/>
  <c r="Q154" i="72"/>
  <c r="Q148" i="72"/>
  <c r="Q152" i="72"/>
  <c r="R141" i="72"/>
  <c r="Q138" i="72"/>
  <c r="Q136" i="72"/>
  <c r="R105" i="72"/>
  <c r="R101" i="72"/>
  <c r="Q96" i="72"/>
  <c r="Q92" i="72"/>
  <c r="R90" i="72"/>
  <c r="Q89" i="72"/>
  <c r="R77" i="72"/>
  <c r="R73" i="72"/>
  <c r="R69" i="72"/>
  <c r="Q68" i="72"/>
  <c r="Q64" i="72"/>
  <c r="Q61" i="72"/>
  <c r="Q52" i="72"/>
  <c r="R50" i="72"/>
  <c r="R42" i="72"/>
  <c r="Q44" i="72"/>
  <c r="Q36" i="72"/>
  <c r="R29" i="72"/>
  <c r="R33" i="72"/>
  <c r="Q28" i="72"/>
  <c r="Q20" i="72"/>
  <c r="Q12" i="72"/>
  <c r="Q8" i="72"/>
  <c r="Q7" i="72"/>
  <c r="K124" i="72"/>
  <c r="K10" i="72"/>
  <c r="K130" i="72"/>
  <c r="K97" i="72"/>
  <c r="K38" i="72"/>
  <c r="K129" i="72"/>
  <c r="K56" i="72"/>
  <c r="K93" i="72"/>
  <c r="K146" i="72"/>
  <c r="K123" i="72"/>
  <c r="K58" i="72"/>
  <c r="K156" i="72"/>
  <c r="K125" i="72"/>
  <c r="K170" i="72"/>
  <c r="K24" i="72"/>
  <c r="K147" i="72"/>
  <c r="Q181" i="72"/>
  <c r="R174" i="72"/>
  <c r="Q172" i="72"/>
  <c r="R170" i="72"/>
  <c r="Q166" i="72"/>
  <c r="Q164" i="72"/>
  <c r="R157" i="72"/>
  <c r="R153" i="72"/>
  <c r="R149" i="72"/>
  <c r="Q142" i="72"/>
  <c r="Q140" i="72"/>
  <c r="R133" i="72"/>
  <c r="R126" i="72"/>
  <c r="R122" i="72"/>
  <c r="R118" i="72"/>
  <c r="R114" i="72"/>
  <c r="R110" i="72"/>
  <c r="R106" i="72"/>
  <c r="R102" i="72"/>
  <c r="R98" i="72"/>
  <c r="Q97" i="72"/>
  <c r="R93" i="72"/>
  <c r="Q88" i="72"/>
  <c r="Q86" i="72"/>
  <c r="R82" i="72"/>
  <c r="R78" i="72"/>
  <c r="R74" i="72"/>
  <c r="Q57" i="72"/>
  <c r="Q53" i="72"/>
  <c r="Q49" i="72"/>
  <c r="Q45" i="72"/>
  <c r="Q41" i="72"/>
  <c r="Q37" i="72"/>
  <c r="R30" i="72"/>
  <c r="Q24" i="72"/>
  <c r="Q17" i="72"/>
  <c r="Q13" i="72"/>
  <c r="Q9" i="72"/>
  <c r="R182" i="72"/>
  <c r="Q176" i="72"/>
  <c r="Q168" i="72"/>
  <c r="R161" i="72"/>
  <c r="Q146" i="72"/>
  <c r="Q144" i="72"/>
  <c r="R137" i="72"/>
  <c r="Q130" i="72"/>
  <c r="Q128" i="72"/>
  <c r="Q124" i="72"/>
  <c r="Q120" i="72"/>
  <c r="Q116" i="72"/>
  <c r="Q112" i="72"/>
  <c r="Q108" i="72"/>
  <c r="Q104" i="72"/>
  <c r="Q100" i="72"/>
  <c r="Q84" i="72"/>
  <c r="Q80" i="72"/>
  <c r="Q76" i="72"/>
  <c r="Q72" i="72"/>
  <c r="R10" i="72"/>
  <c r="K176" i="72"/>
  <c r="K84" i="72"/>
  <c r="K59" i="72"/>
  <c r="K20" i="72"/>
  <c r="K43" i="72"/>
  <c r="K80" i="72"/>
  <c r="K169" i="72"/>
  <c r="K120" i="72"/>
  <c r="K75" i="72"/>
  <c r="K14" i="72"/>
  <c r="K165" i="72"/>
  <c r="K139" i="72"/>
  <c r="K73" i="72"/>
  <c r="K32" i="72"/>
  <c r="K180" i="72"/>
  <c r="K30" i="72"/>
  <c r="K163" i="72"/>
  <c r="K133" i="72"/>
  <c r="K27" i="72"/>
  <c r="K55" i="72"/>
  <c r="K52" i="72"/>
  <c r="R183" i="72"/>
  <c r="R177" i="72"/>
  <c r="Q155" i="72"/>
  <c r="R155" i="72"/>
  <c r="Q180" i="72"/>
  <c r="R175" i="72"/>
  <c r="Q159" i="72"/>
  <c r="R159" i="72"/>
  <c r="R173" i="72"/>
  <c r="Q163" i="72"/>
  <c r="R163" i="72"/>
  <c r="Q167" i="72"/>
  <c r="R167" i="72"/>
  <c r="R151" i="72"/>
  <c r="R147" i="72"/>
  <c r="R143" i="72"/>
  <c r="R139" i="72"/>
  <c r="R135" i="72"/>
  <c r="R131" i="72"/>
  <c r="R127" i="72"/>
  <c r="R123" i="72"/>
  <c r="R119" i="72"/>
  <c r="R115" i="72"/>
  <c r="R111" i="72"/>
  <c r="R107" i="72"/>
  <c r="R103" i="72"/>
  <c r="R99" i="72"/>
  <c r="R95" i="72"/>
  <c r="R91" i="72"/>
  <c r="R87" i="72"/>
  <c r="R83" i="72"/>
  <c r="R79" i="72"/>
  <c r="R75" i="72"/>
  <c r="R71" i="72"/>
  <c r="R67" i="72"/>
  <c r="Q66" i="72"/>
  <c r="R63" i="72"/>
  <c r="R59" i="72"/>
  <c r="Q58" i="72"/>
  <c r="R55" i="72"/>
  <c r="Q54" i="72"/>
  <c r="R51" i="72"/>
  <c r="R47" i="72"/>
  <c r="R43" i="72"/>
  <c r="R39" i="72"/>
  <c r="R35" i="72"/>
  <c r="Q34" i="72"/>
  <c r="R31" i="72"/>
  <c r="R27" i="72"/>
  <c r="Q26" i="72"/>
  <c r="R23" i="72"/>
  <c r="Q22" i="72"/>
  <c r="R19" i="72"/>
  <c r="Q18" i="72"/>
  <c r="R15" i="72"/>
  <c r="Q14" i="72"/>
  <c r="R11" i="72"/>
  <c r="K15" i="72"/>
  <c r="K154" i="72"/>
  <c r="K72" i="72"/>
  <c r="K50" i="72"/>
  <c r="K174" i="72"/>
  <c r="K11" i="72"/>
  <c r="K36" i="72"/>
  <c r="K155" i="72"/>
  <c r="K117" i="72"/>
  <c r="K49" i="72"/>
  <c r="K8" i="72"/>
  <c r="K164" i="72"/>
  <c r="K138" i="72"/>
  <c r="K41" i="72"/>
  <c r="K31" i="72"/>
  <c r="K110" i="72"/>
  <c r="K29" i="72"/>
  <c r="K145" i="72"/>
  <c r="K102" i="72"/>
  <c r="K9" i="72"/>
  <c r="K134" i="72"/>
  <c r="K47" i="72"/>
  <c r="K44" i="72"/>
  <c r="K114" i="72"/>
  <c r="K60" i="72"/>
  <c r="K34" i="72"/>
  <c r="K91" i="72"/>
  <c r="K112" i="72"/>
  <c r="K172" i="72"/>
  <c r="K152" i="72"/>
  <c r="K106" i="72"/>
  <c r="K19" i="72"/>
  <c r="K167" i="72"/>
  <c r="K149" i="72"/>
  <c r="K79" i="72"/>
  <c r="K33" i="72"/>
  <c r="K17" i="72"/>
  <c r="K42" i="72"/>
  <c r="K121" i="72"/>
  <c r="K141" i="72"/>
  <c r="K28" i="72"/>
  <c r="K131" i="72"/>
  <c r="K53" i="72"/>
  <c r="K45" i="72"/>
  <c r="K115" i="72"/>
  <c r="K61" i="72"/>
  <c r="K35" i="72"/>
  <c r="K140" i="72"/>
  <c r="K181" i="72"/>
  <c r="K173" i="72"/>
  <c r="K153" i="72"/>
  <c r="K107" i="72"/>
  <c r="K37" i="72"/>
  <c r="K168" i="72"/>
  <c r="K162" i="72"/>
  <c r="K101" i="72"/>
  <c r="K40" i="72"/>
  <c r="K26" i="72"/>
  <c r="K85" i="72"/>
  <c r="K13" i="72"/>
  <c r="K144" i="72"/>
  <c r="K66" i="72"/>
  <c r="K132" i="72"/>
  <c r="K104" i="72"/>
  <c r="K16" i="72"/>
  <c r="X5" i="48"/>
  <c r="X6" i="48"/>
  <c r="X7" i="48"/>
  <c r="X8" i="48"/>
  <c r="X9" i="48"/>
  <c r="X10" i="48"/>
  <c r="X11" i="48"/>
  <c r="X12" i="48"/>
  <c r="X13" i="48"/>
  <c r="X14" i="48"/>
  <c r="X15" i="48"/>
  <c r="X16" i="48"/>
  <c r="X17" i="48"/>
  <c r="X18" i="48"/>
  <c r="X19" i="48"/>
  <c r="X20" i="48"/>
  <c r="X21" i="48"/>
  <c r="X22" i="48"/>
  <c r="X23" i="48"/>
  <c r="X24" i="48"/>
  <c r="X25" i="48"/>
  <c r="X26" i="48"/>
  <c r="X27" i="48"/>
  <c r="X28" i="48"/>
  <c r="X29" i="48"/>
  <c r="X30" i="48"/>
  <c r="X31" i="48"/>
  <c r="X32" i="48"/>
  <c r="X33" i="48"/>
  <c r="X34" i="48"/>
  <c r="X35" i="48"/>
  <c r="X36" i="48"/>
  <c r="X37" i="48"/>
  <c r="X38" i="48"/>
  <c r="X39" i="48"/>
  <c r="X40" i="48"/>
  <c r="X41" i="48"/>
  <c r="X42" i="48"/>
  <c r="X43" i="48"/>
  <c r="X44" i="48"/>
  <c r="X45" i="48"/>
  <c r="X46" i="48"/>
  <c r="X47" i="48"/>
  <c r="X48" i="48"/>
  <c r="X49" i="48"/>
  <c r="X50" i="48"/>
  <c r="X51" i="48"/>
  <c r="X52" i="48"/>
  <c r="X53" i="48"/>
  <c r="X4" i="48"/>
  <c r="AG3" i="46" l="1"/>
  <c r="AG4" i="46"/>
  <c r="AG5" i="46"/>
  <c r="AG6" i="46"/>
  <c r="AG7" i="46"/>
  <c r="AG8" i="46"/>
  <c r="AG9" i="46"/>
  <c r="AG10" i="46"/>
  <c r="AG11" i="46"/>
  <c r="AG12" i="46"/>
  <c r="AG13" i="46"/>
  <c r="AG14" i="46"/>
  <c r="AG15" i="46"/>
  <c r="AG16" i="46"/>
  <c r="AG17" i="46"/>
  <c r="AG18" i="46"/>
  <c r="AG19" i="46"/>
  <c r="AG20" i="46"/>
  <c r="AG21" i="46"/>
  <c r="AG22" i="46"/>
  <c r="AG23" i="46"/>
  <c r="AG24" i="46"/>
  <c r="AG25" i="46"/>
  <c r="AG26" i="46"/>
  <c r="AG27" i="46"/>
  <c r="AG28" i="46"/>
  <c r="AG29" i="46"/>
  <c r="AG30" i="46"/>
  <c r="AG31" i="46"/>
  <c r="AG32" i="46"/>
  <c r="AG33" i="46"/>
  <c r="AG34" i="46"/>
  <c r="AG35" i="46"/>
  <c r="AG36" i="46"/>
  <c r="AG37" i="46"/>
  <c r="AG38" i="46"/>
  <c r="AG39" i="46"/>
  <c r="AG40" i="46"/>
  <c r="AG41" i="46"/>
  <c r="AG42" i="46"/>
  <c r="AG43" i="46"/>
  <c r="AG44" i="46"/>
  <c r="AG45" i="46"/>
  <c r="AG46" i="46"/>
  <c r="AG47" i="46"/>
  <c r="AG48" i="46"/>
  <c r="AG49" i="46"/>
  <c r="AG50" i="46"/>
  <c r="AG51" i="46"/>
  <c r="AG2" i="46"/>
  <c r="AD3" i="46"/>
  <c r="AD4" i="46"/>
  <c r="AD5" i="46"/>
  <c r="AD6" i="46"/>
  <c r="AD7" i="46"/>
  <c r="AD8" i="46"/>
  <c r="AD9" i="46"/>
  <c r="AD10" i="46"/>
  <c r="AD11" i="46"/>
  <c r="AD12" i="46"/>
  <c r="AD13" i="46"/>
  <c r="AD14" i="46"/>
  <c r="AD15" i="46"/>
  <c r="AD16" i="46"/>
  <c r="AD17" i="46"/>
  <c r="AD18" i="46"/>
  <c r="AD19" i="46"/>
  <c r="AD20" i="46"/>
  <c r="AD21" i="46"/>
  <c r="AD22" i="46"/>
  <c r="AD23" i="46"/>
  <c r="AD24" i="46"/>
  <c r="AD25" i="46"/>
  <c r="AD26" i="46"/>
  <c r="AD27" i="46"/>
  <c r="AD28" i="46"/>
  <c r="AD29" i="46"/>
  <c r="AD30" i="46"/>
  <c r="AD31" i="46"/>
  <c r="AD32" i="46"/>
  <c r="AD33" i="46"/>
  <c r="AD34" i="46"/>
  <c r="AD35" i="46"/>
  <c r="AD36" i="46"/>
  <c r="AD37" i="46"/>
  <c r="AD38" i="46"/>
  <c r="AD39" i="46"/>
  <c r="AD40" i="46"/>
  <c r="AD41" i="46"/>
  <c r="AD42" i="46"/>
  <c r="AD43" i="46"/>
  <c r="AD44" i="46"/>
  <c r="AD45" i="46"/>
  <c r="AD46" i="46"/>
  <c r="AD47" i="46"/>
  <c r="AD48" i="46"/>
  <c r="AD49" i="46"/>
  <c r="AD50" i="46"/>
  <c r="AD51" i="46"/>
  <c r="AD2" i="46"/>
  <c r="Y3" i="46"/>
  <c r="Y4" i="46"/>
  <c r="AH4" i="46" s="1"/>
  <c r="Y5" i="46"/>
  <c r="Y6" i="46"/>
  <c r="Y7" i="46"/>
  <c r="AH7" i="46" s="1"/>
  <c r="Y8" i="46"/>
  <c r="Y9" i="46"/>
  <c r="AH9" i="46" s="1"/>
  <c r="Y10" i="46"/>
  <c r="Y11" i="46"/>
  <c r="AH11" i="46" s="1"/>
  <c r="Y12" i="46"/>
  <c r="Y13" i="46"/>
  <c r="AH13" i="46" s="1"/>
  <c r="Y14" i="46"/>
  <c r="Y15" i="46"/>
  <c r="AH15" i="46" s="1"/>
  <c r="Y16" i="46"/>
  <c r="Y17" i="46"/>
  <c r="AH17" i="46" s="1"/>
  <c r="Y18" i="46"/>
  <c r="Y19" i="46"/>
  <c r="AH19" i="46" s="1"/>
  <c r="Y20" i="46"/>
  <c r="Y21" i="46"/>
  <c r="AH21" i="46" s="1"/>
  <c r="Y22" i="46"/>
  <c r="Y23" i="46"/>
  <c r="AH23" i="46" s="1"/>
  <c r="Y24" i="46"/>
  <c r="Y25" i="46"/>
  <c r="AH25" i="46" s="1"/>
  <c r="Y26" i="46"/>
  <c r="Y27" i="46"/>
  <c r="AH27" i="46" s="1"/>
  <c r="Y28" i="46"/>
  <c r="Y29" i="46"/>
  <c r="AH29" i="46" s="1"/>
  <c r="Y30" i="46"/>
  <c r="Y31" i="46"/>
  <c r="AH31" i="46" s="1"/>
  <c r="Y32" i="46"/>
  <c r="Y33" i="46"/>
  <c r="AH33" i="46" s="1"/>
  <c r="Y34" i="46"/>
  <c r="Y35" i="46"/>
  <c r="AH35" i="46" s="1"/>
  <c r="Y36" i="46"/>
  <c r="Y37" i="46"/>
  <c r="AH37" i="46" s="1"/>
  <c r="Y38" i="46"/>
  <c r="Y39" i="46"/>
  <c r="AH39" i="46" s="1"/>
  <c r="Y40" i="46"/>
  <c r="Y41" i="46"/>
  <c r="AH41" i="46" s="1"/>
  <c r="Y42" i="46"/>
  <c r="Y43" i="46"/>
  <c r="AH43" i="46" s="1"/>
  <c r="Y44" i="46"/>
  <c r="Y45" i="46"/>
  <c r="AH45" i="46" s="1"/>
  <c r="Y46" i="46"/>
  <c r="Y47" i="46"/>
  <c r="AH47" i="46" s="1"/>
  <c r="Y48" i="46"/>
  <c r="Y49" i="46"/>
  <c r="AH49" i="46" s="1"/>
  <c r="Y50" i="46"/>
  <c r="Y51" i="46"/>
  <c r="AH51" i="46" s="1"/>
  <c r="Y2" i="46"/>
  <c r="M5" i="68"/>
  <c r="Q5" i="68" s="1"/>
  <c r="M6" i="68"/>
  <c r="M7" i="68"/>
  <c r="M8" i="68"/>
  <c r="M9" i="68"/>
  <c r="M10" i="68"/>
  <c r="M11" i="68"/>
  <c r="M12" i="68"/>
  <c r="N12" i="68" s="1"/>
  <c r="O12" i="68" s="1"/>
  <c r="M13" i="68"/>
  <c r="Q13" i="68" s="1"/>
  <c r="M14" i="68"/>
  <c r="M15" i="68"/>
  <c r="M16" i="68"/>
  <c r="M17" i="68"/>
  <c r="M18" i="68"/>
  <c r="M19" i="68"/>
  <c r="M20" i="68"/>
  <c r="Q20" i="68" s="1"/>
  <c r="M21" i="68"/>
  <c r="Q21" i="68" s="1"/>
  <c r="M22" i="68"/>
  <c r="M23" i="68"/>
  <c r="M24" i="68"/>
  <c r="M25" i="68"/>
  <c r="M26" i="68"/>
  <c r="M27" i="68"/>
  <c r="M28" i="68"/>
  <c r="Q28" i="68" s="1"/>
  <c r="M29" i="68"/>
  <c r="M30" i="68"/>
  <c r="Q30" i="68" s="1"/>
  <c r="M31" i="68"/>
  <c r="M32" i="68"/>
  <c r="M33" i="68"/>
  <c r="M34" i="68"/>
  <c r="M35" i="68"/>
  <c r="M36" i="68"/>
  <c r="N36" i="68" s="1"/>
  <c r="O36" i="68" s="1"/>
  <c r="M37" i="68"/>
  <c r="N37" i="68" s="1"/>
  <c r="O37" i="68" s="1"/>
  <c r="M38" i="68"/>
  <c r="N38" i="68" s="1"/>
  <c r="O38" i="68" s="1"/>
  <c r="M39" i="68"/>
  <c r="M40" i="68"/>
  <c r="M41" i="68"/>
  <c r="M42" i="68"/>
  <c r="M43" i="68"/>
  <c r="M44" i="68"/>
  <c r="N44" i="68" s="1"/>
  <c r="O44" i="68" s="1"/>
  <c r="M45" i="68"/>
  <c r="N45" i="68" s="1"/>
  <c r="O45" i="68" s="1"/>
  <c r="M46" i="68"/>
  <c r="N46" i="68" s="1"/>
  <c r="O46" i="68" s="1"/>
  <c r="M47" i="68"/>
  <c r="M48" i="68"/>
  <c r="M49" i="68"/>
  <c r="M50" i="68"/>
  <c r="M51" i="68"/>
  <c r="M52" i="68"/>
  <c r="N52" i="68" s="1"/>
  <c r="O52" i="68" s="1"/>
  <c r="M53" i="68"/>
  <c r="N53" i="68" s="1"/>
  <c r="O53" i="68" s="1"/>
  <c r="M54" i="68"/>
  <c r="N54" i="68" s="1"/>
  <c r="O54" i="68" s="1"/>
  <c r="M55" i="68"/>
  <c r="M56" i="68"/>
  <c r="M57" i="68"/>
  <c r="M58" i="68"/>
  <c r="M59" i="68"/>
  <c r="M60" i="68"/>
  <c r="N60" i="68" s="1"/>
  <c r="O60" i="68" s="1"/>
  <c r="M61" i="68"/>
  <c r="N61" i="68" s="1"/>
  <c r="O61" i="68" s="1"/>
  <c r="M62" i="68"/>
  <c r="N62" i="68" s="1"/>
  <c r="O62" i="68" s="1"/>
  <c r="M63" i="68"/>
  <c r="M64" i="68"/>
  <c r="M65" i="68"/>
  <c r="M66" i="68"/>
  <c r="M67" i="68"/>
  <c r="N67" i="68" s="1"/>
  <c r="O67" i="68" s="1"/>
  <c r="M68" i="68"/>
  <c r="Q68" i="68" s="1"/>
  <c r="M69" i="68"/>
  <c r="Q69" i="68" s="1"/>
  <c r="M70" i="68"/>
  <c r="Q70" i="68" s="1"/>
  <c r="M71" i="68"/>
  <c r="N71" i="68" s="1"/>
  <c r="O71" i="68" s="1"/>
  <c r="M72" i="68"/>
  <c r="M73" i="68"/>
  <c r="M74" i="68"/>
  <c r="Q74" i="68" s="1"/>
  <c r="M75" i="68"/>
  <c r="Q75" i="68" s="1"/>
  <c r="M76" i="68"/>
  <c r="N76" i="68" s="1"/>
  <c r="O76" i="68" s="1"/>
  <c r="M77" i="68"/>
  <c r="Q77" i="68" s="1"/>
  <c r="M78" i="68"/>
  <c r="N78" i="68" s="1"/>
  <c r="O78" i="68" s="1"/>
  <c r="M79" i="68"/>
  <c r="M80" i="68"/>
  <c r="M81" i="68"/>
  <c r="M82" i="68"/>
  <c r="M83" i="68"/>
  <c r="N83" i="68" s="1"/>
  <c r="O83" i="68" s="1"/>
  <c r="M84" i="68"/>
  <c r="N84" i="68" s="1"/>
  <c r="O84" i="68" s="1"/>
  <c r="M85" i="68"/>
  <c r="M86" i="68"/>
  <c r="Q86" i="68" s="1"/>
  <c r="M87" i="68"/>
  <c r="Q87" i="68" s="1"/>
  <c r="M88" i="68"/>
  <c r="N88" i="68" s="1"/>
  <c r="O88" i="68" s="1"/>
  <c r="M89" i="68"/>
  <c r="N89" i="68" s="1"/>
  <c r="O89" i="68" s="1"/>
  <c r="M90" i="68"/>
  <c r="Q90" i="68" s="1"/>
  <c r="M91" i="68"/>
  <c r="Q91" i="68" s="1"/>
  <c r="M92" i="68"/>
  <c r="N92" i="68" s="1"/>
  <c r="O92" i="68" s="1"/>
  <c r="M93" i="68"/>
  <c r="N93" i="68" s="1"/>
  <c r="O93" i="68" s="1"/>
  <c r="M94" i="68"/>
  <c r="Q94" i="68" s="1"/>
  <c r="M95" i="68"/>
  <c r="M96" i="68"/>
  <c r="Q96" i="68" s="1"/>
  <c r="M97" i="68"/>
  <c r="M98" i="68"/>
  <c r="M99" i="68"/>
  <c r="N99" i="68" s="1"/>
  <c r="O99" i="68" s="1"/>
  <c r="M100" i="68"/>
  <c r="N100" i="68" s="1"/>
  <c r="O100" i="68" s="1"/>
  <c r="M101" i="68"/>
  <c r="N101" i="68" s="1"/>
  <c r="O101" i="68" s="1"/>
  <c r="M102" i="68"/>
  <c r="Q102" i="68" s="1"/>
  <c r="M103" i="68"/>
  <c r="N103" i="68" s="1"/>
  <c r="O103" i="68" s="1"/>
  <c r="M4" i="68"/>
  <c r="Q4" i="68" s="1"/>
  <c r="R103" i="68"/>
  <c r="Q103" i="68"/>
  <c r="K103" i="68"/>
  <c r="J103" i="68"/>
  <c r="H103" i="68"/>
  <c r="I103" i="68" s="1"/>
  <c r="R102" i="68"/>
  <c r="K102" i="68"/>
  <c r="J102" i="68"/>
  <c r="H102" i="68"/>
  <c r="L102" i="68" s="1"/>
  <c r="R101" i="68"/>
  <c r="Q101" i="68"/>
  <c r="K101" i="68"/>
  <c r="J101" i="68"/>
  <c r="H101" i="68"/>
  <c r="I101" i="68" s="1"/>
  <c r="R100" i="68"/>
  <c r="K100" i="68"/>
  <c r="J100" i="68"/>
  <c r="H100" i="68"/>
  <c r="L100" i="68" s="1"/>
  <c r="R99" i="68"/>
  <c r="K99" i="68"/>
  <c r="J99" i="68"/>
  <c r="H99" i="68"/>
  <c r="I99" i="68" s="1"/>
  <c r="R98" i="68"/>
  <c r="N98" i="68"/>
  <c r="O98" i="68" s="1"/>
  <c r="Q98" i="68"/>
  <c r="K98" i="68"/>
  <c r="J98" i="68"/>
  <c r="H98" i="68"/>
  <c r="L98" i="68" s="1"/>
  <c r="R97" i="68"/>
  <c r="Q97" i="68"/>
  <c r="N97" i="68"/>
  <c r="O97" i="68" s="1"/>
  <c r="K97" i="68"/>
  <c r="J97" i="68"/>
  <c r="H97" i="68"/>
  <c r="I97" i="68" s="1"/>
  <c r="R96" i="68"/>
  <c r="N96" i="68"/>
  <c r="O96" i="68" s="1"/>
  <c r="K96" i="68"/>
  <c r="J96" i="68"/>
  <c r="H96" i="68"/>
  <c r="L96" i="68" s="1"/>
  <c r="R95" i="68"/>
  <c r="Q95" i="68"/>
  <c r="N95" i="68"/>
  <c r="O95" i="68" s="1"/>
  <c r="K95" i="68"/>
  <c r="J95" i="68"/>
  <c r="H95" i="68"/>
  <c r="I95" i="68" s="1"/>
  <c r="R94" i="68"/>
  <c r="K94" i="68"/>
  <c r="J94" i="68"/>
  <c r="H94" i="68"/>
  <c r="L94" i="68" s="1"/>
  <c r="R93" i="68"/>
  <c r="K93" i="68"/>
  <c r="J93" i="68"/>
  <c r="H93" i="68"/>
  <c r="I93" i="68" s="1"/>
  <c r="R92" i="68"/>
  <c r="K92" i="68"/>
  <c r="J92" i="68"/>
  <c r="H92" i="68"/>
  <c r="L92" i="68" s="1"/>
  <c r="R91" i="68"/>
  <c r="N91" i="68"/>
  <c r="O91" i="68" s="1"/>
  <c r="K91" i="68"/>
  <c r="J91" i="68"/>
  <c r="H91" i="68"/>
  <c r="I91" i="68" s="1"/>
  <c r="R90" i="68"/>
  <c r="N90" i="68"/>
  <c r="O90" i="68" s="1"/>
  <c r="K90" i="68"/>
  <c r="J90" i="68"/>
  <c r="H90" i="68"/>
  <c r="L90" i="68" s="1"/>
  <c r="R89" i="68"/>
  <c r="Q89" i="68"/>
  <c r="K89" i="68"/>
  <c r="J89" i="68"/>
  <c r="H89" i="68"/>
  <c r="I89" i="68" s="1"/>
  <c r="R88" i="68"/>
  <c r="Q88" i="68"/>
  <c r="K88" i="68"/>
  <c r="J88" i="68"/>
  <c r="H88" i="68"/>
  <c r="L88" i="68" s="1"/>
  <c r="R87" i="68"/>
  <c r="N87" i="68"/>
  <c r="O87" i="68" s="1"/>
  <c r="K87" i="68"/>
  <c r="J87" i="68"/>
  <c r="H87" i="68"/>
  <c r="I87" i="68" s="1"/>
  <c r="R86" i="68"/>
  <c r="N86" i="68"/>
  <c r="O86" i="68" s="1"/>
  <c r="K86" i="68"/>
  <c r="J86" i="68"/>
  <c r="H86" i="68"/>
  <c r="L86" i="68" s="1"/>
  <c r="R85" i="68"/>
  <c r="Q85" i="68"/>
  <c r="N85" i="68"/>
  <c r="O85" i="68" s="1"/>
  <c r="K85" i="68"/>
  <c r="J85" i="68"/>
  <c r="H85" i="68"/>
  <c r="I85" i="68" s="1"/>
  <c r="R84" i="68"/>
  <c r="K84" i="68"/>
  <c r="J84" i="68"/>
  <c r="H84" i="68"/>
  <c r="L84" i="68" s="1"/>
  <c r="R83" i="68"/>
  <c r="Q83" i="68"/>
  <c r="K83" i="68"/>
  <c r="J83" i="68"/>
  <c r="H83" i="68"/>
  <c r="I83" i="68" s="1"/>
  <c r="R82" i="68"/>
  <c r="N82" i="68"/>
  <c r="O82" i="68" s="1"/>
  <c r="Q82" i="68"/>
  <c r="K82" i="68"/>
  <c r="J82" i="68"/>
  <c r="H82" i="68"/>
  <c r="L82" i="68" s="1"/>
  <c r="R81" i="68"/>
  <c r="Q81" i="68"/>
  <c r="N81" i="68"/>
  <c r="O81" i="68" s="1"/>
  <c r="K81" i="68"/>
  <c r="J81" i="68"/>
  <c r="H81" i="68"/>
  <c r="I81" i="68" s="1"/>
  <c r="R80" i="68"/>
  <c r="N80" i="68"/>
  <c r="O80" i="68" s="1"/>
  <c r="Q80" i="68"/>
  <c r="K80" i="68"/>
  <c r="J80" i="68"/>
  <c r="H80" i="68"/>
  <c r="I80" i="68" s="1"/>
  <c r="R79" i="68"/>
  <c r="Q79" i="68"/>
  <c r="N79" i="68"/>
  <c r="O79" i="68" s="1"/>
  <c r="K79" i="68"/>
  <c r="J79" i="68"/>
  <c r="H79" i="68"/>
  <c r="I79" i="68" s="1"/>
  <c r="R78" i="68"/>
  <c r="Q78" i="68"/>
  <c r="K78" i="68"/>
  <c r="J78" i="68"/>
  <c r="H78" i="68"/>
  <c r="I78" i="68" s="1"/>
  <c r="R77" i="68"/>
  <c r="K77" i="68"/>
  <c r="J77" i="68"/>
  <c r="H77" i="68"/>
  <c r="I77" i="68" s="1"/>
  <c r="R76" i="68"/>
  <c r="K76" i="68"/>
  <c r="J76" i="68"/>
  <c r="H76" i="68"/>
  <c r="I76" i="68" s="1"/>
  <c r="R75" i="68"/>
  <c r="N75" i="68"/>
  <c r="O75" i="68" s="1"/>
  <c r="K75" i="68"/>
  <c r="J75" i="68"/>
  <c r="H75" i="68"/>
  <c r="I75" i="68" s="1"/>
  <c r="R74" i="68"/>
  <c r="N74" i="68"/>
  <c r="O74" i="68" s="1"/>
  <c r="K74" i="68"/>
  <c r="J74" i="68"/>
  <c r="H74" i="68"/>
  <c r="I74" i="68" s="1"/>
  <c r="R73" i="68"/>
  <c r="Q73" i="68"/>
  <c r="N73" i="68"/>
  <c r="O73" i="68" s="1"/>
  <c r="K73" i="68"/>
  <c r="J73" i="68"/>
  <c r="H73" i="68"/>
  <c r="I73" i="68" s="1"/>
  <c r="R72" i="68"/>
  <c r="Q72" i="68"/>
  <c r="N72" i="68"/>
  <c r="O72" i="68" s="1"/>
  <c r="K72" i="68"/>
  <c r="J72" i="68"/>
  <c r="H72" i="68"/>
  <c r="I72" i="68" s="1"/>
  <c r="R71" i="68"/>
  <c r="Q71" i="68"/>
  <c r="K71" i="68"/>
  <c r="J71" i="68"/>
  <c r="H71" i="68"/>
  <c r="I71" i="68" s="1"/>
  <c r="R70" i="68"/>
  <c r="K70" i="68"/>
  <c r="J70" i="68"/>
  <c r="H70" i="68"/>
  <c r="I70" i="68" s="1"/>
  <c r="R69" i="68"/>
  <c r="K69" i="68"/>
  <c r="J69" i="68"/>
  <c r="H69" i="68"/>
  <c r="I69" i="68" s="1"/>
  <c r="R68" i="68"/>
  <c r="K68" i="68"/>
  <c r="J68" i="68"/>
  <c r="H68" i="68"/>
  <c r="I68" i="68" s="1"/>
  <c r="R67" i="68"/>
  <c r="Q67" i="68"/>
  <c r="K67" i="68"/>
  <c r="J67" i="68"/>
  <c r="H67" i="68"/>
  <c r="I67" i="68" s="1"/>
  <c r="R66" i="68"/>
  <c r="Q66" i="68"/>
  <c r="N66" i="68"/>
  <c r="O66" i="68" s="1"/>
  <c r="K66" i="68"/>
  <c r="J66" i="68"/>
  <c r="H66" i="68"/>
  <c r="I66" i="68" s="1"/>
  <c r="R65" i="68"/>
  <c r="Q65" i="68"/>
  <c r="N65" i="68"/>
  <c r="O65" i="68" s="1"/>
  <c r="K65" i="68"/>
  <c r="J65" i="68"/>
  <c r="H65" i="68"/>
  <c r="I65" i="68" s="1"/>
  <c r="R64" i="68"/>
  <c r="Q64" i="68"/>
  <c r="N64" i="68"/>
  <c r="O64" i="68" s="1"/>
  <c r="K64" i="68"/>
  <c r="J64" i="68"/>
  <c r="H64" i="68"/>
  <c r="I64" i="68" s="1"/>
  <c r="R63" i="68"/>
  <c r="Q63" i="68"/>
  <c r="N63" i="68"/>
  <c r="O63" i="68" s="1"/>
  <c r="K63" i="68"/>
  <c r="J63" i="68"/>
  <c r="H63" i="68"/>
  <c r="I63" i="68" s="1"/>
  <c r="R62" i="68"/>
  <c r="K62" i="68"/>
  <c r="J62" i="68"/>
  <c r="H62" i="68"/>
  <c r="I62" i="68" s="1"/>
  <c r="R61" i="68"/>
  <c r="Q61" i="68"/>
  <c r="K61" i="68"/>
  <c r="J61" i="68"/>
  <c r="H61" i="68"/>
  <c r="I61" i="68" s="1"/>
  <c r="R60" i="68"/>
  <c r="Q60" i="68"/>
  <c r="K60" i="68"/>
  <c r="J60" i="68"/>
  <c r="H60" i="68"/>
  <c r="I60" i="68" s="1"/>
  <c r="R59" i="68"/>
  <c r="Q59" i="68"/>
  <c r="N59" i="68"/>
  <c r="O59" i="68" s="1"/>
  <c r="K59" i="68"/>
  <c r="J59" i="68"/>
  <c r="H59" i="68"/>
  <c r="I59" i="68" s="1"/>
  <c r="R58" i="68"/>
  <c r="Q58" i="68"/>
  <c r="N58" i="68"/>
  <c r="O58" i="68" s="1"/>
  <c r="K58" i="68"/>
  <c r="J58" i="68"/>
  <c r="H58" i="68"/>
  <c r="I58" i="68" s="1"/>
  <c r="R57" i="68"/>
  <c r="Q57" i="68"/>
  <c r="N57" i="68"/>
  <c r="O57" i="68" s="1"/>
  <c r="K57" i="68"/>
  <c r="J57" i="68"/>
  <c r="H57" i="68"/>
  <c r="I57" i="68" s="1"/>
  <c r="R56" i="68"/>
  <c r="Q56" i="68"/>
  <c r="N56" i="68"/>
  <c r="O56" i="68" s="1"/>
  <c r="K56" i="68"/>
  <c r="J56" i="68"/>
  <c r="H56" i="68"/>
  <c r="I56" i="68" s="1"/>
  <c r="R55" i="68"/>
  <c r="Q55" i="68"/>
  <c r="N55" i="68"/>
  <c r="O55" i="68" s="1"/>
  <c r="K55" i="68"/>
  <c r="J55" i="68"/>
  <c r="H55" i="68"/>
  <c r="I55" i="68" s="1"/>
  <c r="R54" i="68"/>
  <c r="K54" i="68"/>
  <c r="J54" i="68"/>
  <c r="H54" i="68"/>
  <c r="I54" i="68" s="1"/>
  <c r="R53" i="68"/>
  <c r="Q53" i="68"/>
  <c r="K53" i="68"/>
  <c r="J53" i="68"/>
  <c r="H53" i="68"/>
  <c r="I53" i="68" s="1"/>
  <c r="R52" i="68"/>
  <c r="Q52" i="68"/>
  <c r="K52" i="68"/>
  <c r="J52" i="68"/>
  <c r="H52" i="68"/>
  <c r="I52" i="68" s="1"/>
  <c r="R51" i="68"/>
  <c r="Q51" i="68"/>
  <c r="N51" i="68"/>
  <c r="O51" i="68" s="1"/>
  <c r="K51" i="68"/>
  <c r="J51" i="68"/>
  <c r="H51" i="68"/>
  <c r="I51" i="68" s="1"/>
  <c r="R50" i="68"/>
  <c r="Q50" i="68"/>
  <c r="N50" i="68"/>
  <c r="O50" i="68" s="1"/>
  <c r="K50" i="68"/>
  <c r="J50" i="68"/>
  <c r="H50" i="68"/>
  <c r="I50" i="68" s="1"/>
  <c r="R49" i="68"/>
  <c r="Q49" i="68"/>
  <c r="N49" i="68"/>
  <c r="O49" i="68" s="1"/>
  <c r="K49" i="68"/>
  <c r="J49" i="68"/>
  <c r="H49" i="68"/>
  <c r="I49" i="68" s="1"/>
  <c r="R48" i="68"/>
  <c r="Q48" i="68"/>
  <c r="N48" i="68"/>
  <c r="O48" i="68" s="1"/>
  <c r="K48" i="68"/>
  <c r="J48" i="68"/>
  <c r="H48" i="68"/>
  <c r="I48" i="68" s="1"/>
  <c r="R47" i="68"/>
  <c r="Q47" i="68"/>
  <c r="N47" i="68"/>
  <c r="O47" i="68" s="1"/>
  <c r="K47" i="68"/>
  <c r="J47" i="68"/>
  <c r="H47" i="68"/>
  <c r="I47" i="68" s="1"/>
  <c r="R46" i="68"/>
  <c r="K46" i="68"/>
  <c r="J46" i="68"/>
  <c r="H46" i="68"/>
  <c r="I46" i="68" s="1"/>
  <c r="R45" i="68"/>
  <c r="Q45" i="68"/>
  <c r="K45" i="68"/>
  <c r="J45" i="68"/>
  <c r="H45" i="68"/>
  <c r="I45" i="68" s="1"/>
  <c r="R44" i="68"/>
  <c r="Q44" i="68"/>
  <c r="K44" i="68"/>
  <c r="J44" i="68"/>
  <c r="H44" i="68"/>
  <c r="I44" i="68" s="1"/>
  <c r="R43" i="68"/>
  <c r="Q43" i="68"/>
  <c r="N43" i="68"/>
  <c r="O43" i="68" s="1"/>
  <c r="K43" i="68"/>
  <c r="J43" i="68"/>
  <c r="H43" i="68"/>
  <c r="I43" i="68" s="1"/>
  <c r="R42" i="68"/>
  <c r="Q42" i="68"/>
  <c r="N42" i="68"/>
  <c r="O42" i="68" s="1"/>
  <c r="K42" i="68"/>
  <c r="J42" i="68"/>
  <c r="H42" i="68"/>
  <c r="I42" i="68" s="1"/>
  <c r="R41" i="68"/>
  <c r="Q41" i="68"/>
  <c r="N41" i="68"/>
  <c r="O41" i="68" s="1"/>
  <c r="K41" i="68"/>
  <c r="J41" i="68"/>
  <c r="H41" i="68"/>
  <c r="I41" i="68" s="1"/>
  <c r="R40" i="68"/>
  <c r="Q40" i="68"/>
  <c r="N40" i="68"/>
  <c r="O40" i="68" s="1"/>
  <c r="K40" i="68"/>
  <c r="J40" i="68"/>
  <c r="H40" i="68"/>
  <c r="I40" i="68" s="1"/>
  <c r="R39" i="68"/>
  <c r="Q39" i="68"/>
  <c r="N39" i="68"/>
  <c r="O39" i="68" s="1"/>
  <c r="K39" i="68"/>
  <c r="J39" i="68"/>
  <c r="H39" i="68"/>
  <c r="I39" i="68" s="1"/>
  <c r="R38" i="68"/>
  <c r="K38" i="68"/>
  <c r="J38" i="68"/>
  <c r="H38" i="68"/>
  <c r="I38" i="68" s="1"/>
  <c r="R37" i="68"/>
  <c r="Q37" i="68"/>
  <c r="K37" i="68"/>
  <c r="J37" i="68"/>
  <c r="H37" i="68"/>
  <c r="I37" i="68" s="1"/>
  <c r="R36" i="68"/>
  <c r="Q36" i="68"/>
  <c r="K36" i="68"/>
  <c r="J36" i="68"/>
  <c r="H36" i="68"/>
  <c r="I36" i="68" s="1"/>
  <c r="R35" i="68"/>
  <c r="Q35" i="68"/>
  <c r="N35" i="68"/>
  <c r="O35" i="68" s="1"/>
  <c r="K35" i="68"/>
  <c r="J35" i="68"/>
  <c r="H35" i="68"/>
  <c r="I35" i="68" s="1"/>
  <c r="R34" i="68"/>
  <c r="Q34" i="68"/>
  <c r="N34" i="68"/>
  <c r="O34" i="68" s="1"/>
  <c r="K34" i="68"/>
  <c r="J34" i="68"/>
  <c r="H34" i="68"/>
  <c r="I34" i="68" s="1"/>
  <c r="R33" i="68"/>
  <c r="Q33" i="68"/>
  <c r="N33" i="68"/>
  <c r="O33" i="68" s="1"/>
  <c r="K33" i="68"/>
  <c r="J33" i="68"/>
  <c r="H33" i="68"/>
  <c r="I33" i="68" s="1"/>
  <c r="R32" i="68"/>
  <c r="Q32" i="68"/>
  <c r="K32" i="68"/>
  <c r="J32" i="68"/>
  <c r="H32" i="68"/>
  <c r="L32" i="68" s="1"/>
  <c r="R31" i="68"/>
  <c r="Q31" i="68"/>
  <c r="N31" i="68"/>
  <c r="O31" i="68" s="1"/>
  <c r="K31" i="68"/>
  <c r="J31" i="68"/>
  <c r="H31" i="68"/>
  <c r="I31" i="68" s="1"/>
  <c r="R30" i="68"/>
  <c r="K30" i="68"/>
  <c r="J30" i="68"/>
  <c r="H30" i="68"/>
  <c r="I30" i="68" s="1"/>
  <c r="R29" i="68"/>
  <c r="Q29" i="68"/>
  <c r="N29" i="68"/>
  <c r="O29" i="68" s="1"/>
  <c r="K29" i="68"/>
  <c r="J29" i="68"/>
  <c r="H29" i="68"/>
  <c r="I29" i="68" s="1"/>
  <c r="R28" i="68"/>
  <c r="K28" i="68"/>
  <c r="J28" i="68"/>
  <c r="H28" i="68"/>
  <c r="L28" i="68" s="1"/>
  <c r="R27" i="68"/>
  <c r="Q27" i="68"/>
  <c r="N27" i="68"/>
  <c r="O27" i="68" s="1"/>
  <c r="K27" i="68"/>
  <c r="J27" i="68"/>
  <c r="H27" i="68"/>
  <c r="I27" i="68" s="1"/>
  <c r="R26" i="68"/>
  <c r="Q26" i="68"/>
  <c r="N26" i="68"/>
  <c r="O26" i="68" s="1"/>
  <c r="K26" i="68"/>
  <c r="J26" i="68"/>
  <c r="H26" i="68"/>
  <c r="I26" i="68" s="1"/>
  <c r="R25" i="68"/>
  <c r="Q25" i="68"/>
  <c r="N25" i="68"/>
  <c r="O25" i="68" s="1"/>
  <c r="K25" i="68"/>
  <c r="J25" i="68"/>
  <c r="H25" i="68"/>
  <c r="I25" i="68" s="1"/>
  <c r="R24" i="68"/>
  <c r="Q24" i="68"/>
  <c r="K24" i="68"/>
  <c r="J24" i="68"/>
  <c r="H24" i="68"/>
  <c r="L24" i="68" s="1"/>
  <c r="R23" i="68"/>
  <c r="Q23" i="68"/>
  <c r="N23" i="68"/>
  <c r="O23" i="68" s="1"/>
  <c r="K23" i="68"/>
  <c r="J23" i="68"/>
  <c r="H23" i="68"/>
  <c r="I23" i="68" s="1"/>
  <c r="R22" i="68"/>
  <c r="Q22" i="68"/>
  <c r="N22" i="68"/>
  <c r="O22" i="68" s="1"/>
  <c r="K22" i="68"/>
  <c r="J22" i="68"/>
  <c r="H22" i="68"/>
  <c r="I22" i="68" s="1"/>
  <c r="R21" i="68"/>
  <c r="N21" i="68"/>
  <c r="O21" i="68" s="1"/>
  <c r="K21" i="68"/>
  <c r="J21" i="68"/>
  <c r="H21" i="68"/>
  <c r="I21" i="68" s="1"/>
  <c r="R20" i="68"/>
  <c r="K20" i="68"/>
  <c r="J20" i="68"/>
  <c r="H20" i="68"/>
  <c r="L20" i="68" s="1"/>
  <c r="R19" i="68"/>
  <c r="Q19" i="68"/>
  <c r="N19" i="68"/>
  <c r="O19" i="68" s="1"/>
  <c r="K19" i="68"/>
  <c r="J19" i="68"/>
  <c r="H19" i="68"/>
  <c r="I19" i="68" s="1"/>
  <c r="R18" i="68"/>
  <c r="Q18" i="68"/>
  <c r="N18" i="68"/>
  <c r="O18" i="68" s="1"/>
  <c r="K18" i="68"/>
  <c r="J18" i="68"/>
  <c r="H18" i="68"/>
  <c r="I18" i="68" s="1"/>
  <c r="R17" i="68"/>
  <c r="Q17" i="68"/>
  <c r="N17" i="68"/>
  <c r="O17" i="68" s="1"/>
  <c r="K17" i="68"/>
  <c r="J17" i="68"/>
  <c r="H17" i="68"/>
  <c r="I17" i="68" s="1"/>
  <c r="R16" i="68"/>
  <c r="Q16" i="68"/>
  <c r="N16" i="68"/>
  <c r="O16" i="68" s="1"/>
  <c r="K16" i="68"/>
  <c r="J16" i="68"/>
  <c r="H16" i="68"/>
  <c r="I16" i="68" s="1"/>
  <c r="R15" i="68"/>
  <c r="Q15" i="68"/>
  <c r="N15" i="68"/>
  <c r="O15" i="68" s="1"/>
  <c r="K15" i="68"/>
  <c r="J15" i="68"/>
  <c r="H15" i="68"/>
  <c r="I15" i="68" s="1"/>
  <c r="R14" i="68"/>
  <c r="Q14" i="68"/>
  <c r="N14" i="68"/>
  <c r="O14" i="68" s="1"/>
  <c r="K14" i="68"/>
  <c r="J14" i="68"/>
  <c r="H14" i="68"/>
  <c r="I14" i="68" s="1"/>
  <c r="R13" i="68"/>
  <c r="K13" i="68"/>
  <c r="J13" i="68"/>
  <c r="H13" i="68"/>
  <c r="I13" i="68" s="1"/>
  <c r="R12" i="68"/>
  <c r="K12" i="68"/>
  <c r="J12" i="68"/>
  <c r="H12" i="68"/>
  <c r="I12" i="68" s="1"/>
  <c r="R11" i="68"/>
  <c r="Q11" i="68"/>
  <c r="N11" i="68"/>
  <c r="O11" i="68" s="1"/>
  <c r="K11" i="68"/>
  <c r="J11" i="68"/>
  <c r="H11" i="68"/>
  <c r="I11" i="68" s="1"/>
  <c r="R10" i="68"/>
  <c r="Q10" i="68"/>
  <c r="N10" i="68"/>
  <c r="O10" i="68" s="1"/>
  <c r="K10" i="68"/>
  <c r="J10" i="68"/>
  <c r="H10" i="68"/>
  <c r="I10" i="68" s="1"/>
  <c r="R9" i="68"/>
  <c r="Q9" i="68"/>
  <c r="N9" i="68"/>
  <c r="O9" i="68" s="1"/>
  <c r="K9" i="68"/>
  <c r="J9" i="68"/>
  <c r="H9" i="68"/>
  <c r="I9" i="68" s="1"/>
  <c r="R8" i="68"/>
  <c r="Q8" i="68"/>
  <c r="N8" i="68"/>
  <c r="O8" i="68" s="1"/>
  <c r="K8" i="68"/>
  <c r="J8" i="68"/>
  <c r="H8" i="68"/>
  <c r="L8" i="68" s="1"/>
  <c r="R7" i="68"/>
  <c r="Q7" i="68"/>
  <c r="N7" i="68"/>
  <c r="O7" i="68" s="1"/>
  <c r="K7" i="68"/>
  <c r="J7" i="68"/>
  <c r="H7" i="68"/>
  <c r="I7" i="68" s="1"/>
  <c r="R6" i="68"/>
  <c r="Q6" i="68"/>
  <c r="N6" i="68"/>
  <c r="O6" i="68" s="1"/>
  <c r="K6" i="68"/>
  <c r="J6" i="68"/>
  <c r="H6" i="68"/>
  <c r="L6" i="68" s="1"/>
  <c r="R5" i="68"/>
  <c r="K5" i="68"/>
  <c r="J5" i="68"/>
  <c r="H5" i="68"/>
  <c r="I5" i="68" s="1"/>
  <c r="R4" i="68"/>
  <c r="S2" i="68" s="1"/>
  <c r="R2" i="68" s="1"/>
  <c r="N4" i="68"/>
  <c r="O4" i="68" s="1"/>
  <c r="K4" i="68"/>
  <c r="J4" i="68"/>
  <c r="H4" i="68"/>
  <c r="I4" i="68" s="1"/>
  <c r="P2" i="68"/>
  <c r="E19" i="69" s="1"/>
  <c r="G2" i="68"/>
  <c r="E2" i="68"/>
  <c r="E18" i="69"/>
  <c r="E17" i="69"/>
  <c r="E16" i="69"/>
  <c r="E2" i="2"/>
  <c r="D2" i="44"/>
  <c r="D2" i="56"/>
  <c r="D2" i="48"/>
  <c r="R4" i="2"/>
  <c r="R5" i="2"/>
  <c r="R6" i="2"/>
  <c r="R7" i="2"/>
  <c r="R8" i="2"/>
  <c r="R9" i="2"/>
  <c r="R10" i="2"/>
  <c r="R11" i="2"/>
  <c r="R12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R34" i="2"/>
  <c r="R35" i="2"/>
  <c r="R36" i="2"/>
  <c r="R37" i="2"/>
  <c r="R38" i="2"/>
  <c r="R39" i="2"/>
  <c r="R40" i="2"/>
  <c r="R41" i="2"/>
  <c r="R42" i="2"/>
  <c r="R43" i="2"/>
  <c r="R44" i="2"/>
  <c r="R45" i="2"/>
  <c r="R46" i="2"/>
  <c r="R47" i="2"/>
  <c r="R48" i="2"/>
  <c r="R49" i="2"/>
  <c r="R50" i="2"/>
  <c r="R51" i="2"/>
  <c r="R52" i="2"/>
  <c r="R53" i="2"/>
  <c r="R54" i="2"/>
  <c r="R55" i="2"/>
  <c r="R56" i="2"/>
  <c r="R57" i="2"/>
  <c r="R58" i="2"/>
  <c r="R59" i="2"/>
  <c r="R60" i="2"/>
  <c r="R61" i="2"/>
  <c r="R62" i="2"/>
  <c r="R63" i="2"/>
  <c r="R64" i="2"/>
  <c r="R65" i="2"/>
  <c r="R66" i="2"/>
  <c r="R67" i="2"/>
  <c r="R68" i="2"/>
  <c r="R69" i="2"/>
  <c r="R70" i="2"/>
  <c r="R71" i="2"/>
  <c r="R72" i="2"/>
  <c r="R73" i="2"/>
  <c r="R74" i="2"/>
  <c r="R75" i="2"/>
  <c r="R76" i="2"/>
  <c r="R77" i="2"/>
  <c r="R78" i="2"/>
  <c r="R79" i="2"/>
  <c r="R80" i="2"/>
  <c r="R81" i="2"/>
  <c r="R82" i="2"/>
  <c r="R83" i="2"/>
  <c r="R84" i="2"/>
  <c r="R85" i="2"/>
  <c r="R86" i="2"/>
  <c r="R87" i="2"/>
  <c r="R88" i="2"/>
  <c r="R89" i="2"/>
  <c r="R90" i="2"/>
  <c r="R91" i="2"/>
  <c r="R92" i="2"/>
  <c r="R93" i="2"/>
  <c r="R94" i="2"/>
  <c r="R95" i="2"/>
  <c r="R96" i="2"/>
  <c r="R97" i="2"/>
  <c r="R98" i="2"/>
  <c r="R99" i="2"/>
  <c r="R100" i="2"/>
  <c r="R101" i="2"/>
  <c r="R102" i="2"/>
  <c r="R103" i="2"/>
  <c r="L4" i="56"/>
  <c r="L5" i="56"/>
  <c r="L6" i="56"/>
  <c r="L7" i="56"/>
  <c r="L8" i="56"/>
  <c r="L9" i="56"/>
  <c r="L10" i="56"/>
  <c r="L11" i="56"/>
  <c r="L12" i="56"/>
  <c r="L13" i="56"/>
  <c r="L14" i="56"/>
  <c r="L15" i="56"/>
  <c r="L16" i="56"/>
  <c r="L17" i="56"/>
  <c r="L18" i="56"/>
  <c r="L19" i="56"/>
  <c r="L20" i="56"/>
  <c r="L21" i="56"/>
  <c r="L22" i="56"/>
  <c r="L23" i="56"/>
  <c r="T4" i="44"/>
  <c r="AE4" i="48"/>
  <c r="AD4" i="48"/>
  <c r="AC4" i="48"/>
  <c r="AB4" i="48"/>
  <c r="AA4" i="48"/>
  <c r="Z4" i="48"/>
  <c r="V4" i="44"/>
  <c r="T5" i="44"/>
  <c r="U5" i="44"/>
  <c r="V5" i="44"/>
  <c r="T6" i="44"/>
  <c r="U6" i="44"/>
  <c r="V6" i="44"/>
  <c r="T7" i="44"/>
  <c r="U7" i="44"/>
  <c r="V7" i="44"/>
  <c r="T8" i="44"/>
  <c r="U8" i="44"/>
  <c r="V8" i="44"/>
  <c r="T9" i="44"/>
  <c r="U9" i="44"/>
  <c r="V9" i="44"/>
  <c r="T10" i="44"/>
  <c r="U10" i="44"/>
  <c r="V10" i="44"/>
  <c r="T11" i="44"/>
  <c r="U11" i="44"/>
  <c r="V11" i="44"/>
  <c r="T12" i="44"/>
  <c r="U12" i="44"/>
  <c r="V12" i="44"/>
  <c r="T13" i="44"/>
  <c r="U13" i="44"/>
  <c r="V13" i="44"/>
  <c r="T14" i="44"/>
  <c r="U14" i="44"/>
  <c r="V14" i="44"/>
  <c r="T15" i="44"/>
  <c r="U15" i="44"/>
  <c r="V15" i="44"/>
  <c r="T16" i="44"/>
  <c r="U16" i="44"/>
  <c r="V16" i="44"/>
  <c r="T17" i="44"/>
  <c r="U17" i="44"/>
  <c r="V17" i="44"/>
  <c r="T18" i="44"/>
  <c r="U18" i="44"/>
  <c r="V18" i="44"/>
  <c r="T19" i="44"/>
  <c r="U19" i="44"/>
  <c r="V19" i="44"/>
  <c r="T20" i="44"/>
  <c r="U20" i="44"/>
  <c r="V20" i="44"/>
  <c r="T21" i="44"/>
  <c r="U21" i="44"/>
  <c r="V21" i="44"/>
  <c r="T22" i="44"/>
  <c r="U22" i="44"/>
  <c r="V22" i="44"/>
  <c r="T23" i="44"/>
  <c r="U23" i="44"/>
  <c r="V23" i="44"/>
  <c r="T24" i="44"/>
  <c r="U24" i="44"/>
  <c r="V24" i="44"/>
  <c r="T25" i="44"/>
  <c r="U25" i="44"/>
  <c r="V25" i="44"/>
  <c r="T26" i="44"/>
  <c r="U26" i="44"/>
  <c r="V26" i="44"/>
  <c r="T27" i="44"/>
  <c r="U27" i="44"/>
  <c r="V27" i="44"/>
  <c r="T28" i="44"/>
  <c r="U28" i="44"/>
  <c r="V28" i="44"/>
  <c r="T29" i="44"/>
  <c r="U29" i="44"/>
  <c r="V29" i="44"/>
  <c r="T30" i="44"/>
  <c r="U30" i="44"/>
  <c r="V30" i="44"/>
  <c r="T31" i="44"/>
  <c r="U31" i="44"/>
  <c r="V31" i="44"/>
  <c r="T32" i="44"/>
  <c r="U32" i="44"/>
  <c r="V32" i="44"/>
  <c r="T33" i="44"/>
  <c r="U33" i="44"/>
  <c r="V33" i="44"/>
  <c r="T34" i="44"/>
  <c r="U34" i="44"/>
  <c r="V34" i="44"/>
  <c r="T35" i="44"/>
  <c r="U35" i="44"/>
  <c r="V35" i="44"/>
  <c r="T36" i="44"/>
  <c r="U36" i="44"/>
  <c r="V36" i="44"/>
  <c r="T37" i="44"/>
  <c r="U37" i="44"/>
  <c r="V37" i="44"/>
  <c r="T38" i="44"/>
  <c r="U38" i="44"/>
  <c r="V38" i="44"/>
  <c r="T39" i="44"/>
  <c r="U39" i="44"/>
  <c r="V39" i="44"/>
  <c r="T40" i="44"/>
  <c r="U40" i="44"/>
  <c r="V40" i="44"/>
  <c r="T41" i="44"/>
  <c r="U41" i="44"/>
  <c r="V41" i="44"/>
  <c r="T42" i="44"/>
  <c r="U42" i="44"/>
  <c r="V42" i="44"/>
  <c r="T43" i="44"/>
  <c r="U43" i="44"/>
  <c r="V43" i="44"/>
  <c r="T44" i="44"/>
  <c r="U44" i="44"/>
  <c r="V44" i="44"/>
  <c r="T45" i="44"/>
  <c r="U45" i="44"/>
  <c r="V45" i="44"/>
  <c r="T46" i="44"/>
  <c r="U46" i="44"/>
  <c r="V46" i="44"/>
  <c r="T47" i="44"/>
  <c r="U47" i="44"/>
  <c r="V47" i="44"/>
  <c r="T48" i="44"/>
  <c r="U48" i="44"/>
  <c r="V48" i="44"/>
  <c r="T49" i="44"/>
  <c r="U49" i="44"/>
  <c r="V49" i="44"/>
  <c r="T50" i="44"/>
  <c r="U50" i="44"/>
  <c r="V50" i="44"/>
  <c r="T51" i="44"/>
  <c r="U51" i="44"/>
  <c r="V51" i="44"/>
  <c r="T52" i="44"/>
  <c r="U52" i="44"/>
  <c r="V52" i="44"/>
  <c r="T53" i="44"/>
  <c r="U53" i="44"/>
  <c r="V53" i="44"/>
  <c r="U4" i="44"/>
  <c r="P2" i="2"/>
  <c r="G2" i="2"/>
  <c r="H5" i="2"/>
  <c r="I5" i="2" s="1"/>
  <c r="J5" i="2"/>
  <c r="K5" i="2"/>
  <c r="M5" i="2"/>
  <c r="N5" i="2" s="1"/>
  <c r="O5" i="2" s="1"/>
  <c r="Q5" i="2"/>
  <c r="H6" i="2"/>
  <c r="I6" i="2" s="1"/>
  <c r="J6" i="2"/>
  <c r="K6" i="2"/>
  <c r="M6" i="2"/>
  <c r="N6" i="2" s="1"/>
  <c r="O6" i="2" s="1"/>
  <c r="H7" i="2"/>
  <c r="I7" i="2" s="1"/>
  <c r="J7" i="2"/>
  <c r="K7" i="2"/>
  <c r="M7" i="2"/>
  <c r="Q7" i="2" s="1"/>
  <c r="H8" i="2"/>
  <c r="L8" i="2" s="1"/>
  <c r="J8" i="2"/>
  <c r="K8" i="2"/>
  <c r="M8" i="2"/>
  <c r="N8" i="2" s="1"/>
  <c r="O8" i="2" s="1"/>
  <c r="H9" i="2"/>
  <c r="I9" i="2" s="1"/>
  <c r="J9" i="2"/>
  <c r="K9" i="2"/>
  <c r="M9" i="2"/>
  <c r="N9" i="2" s="1"/>
  <c r="O9" i="2" s="1"/>
  <c r="Q9" i="2"/>
  <c r="H10" i="2"/>
  <c r="I10" i="2" s="1"/>
  <c r="J10" i="2"/>
  <c r="K10" i="2"/>
  <c r="M10" i="2"/>
  <c r="N10" i="2" s="1"/>
  <c r="O10" i="2" s="1"/>
  <c r="H11" i="2"/>
  <c r="I11" i="2" s="1"/>
  <c r="J11" i="2"/>
  <c r="K11" i="2"/>
  <c r="M11" i="2"/>
  <c r="Q11" i="2" s="1"/>
  <c r="N11" i="2"/>
  <c r="O11" i="2" s="1"/>
  <c r="H12" i="2"/>
  <c r="I12" i="2" s="1"/>
  <c r="J12" i="2"/>
  <c r="K12" i="2"/>
  <c r="M12" i="2"/>
  <c r="N12" i="2" s="1"/>
  <c r="O12" i="2" s="1"/>
  <c r="H13" i="2"/>
  <c r="I13" i="2" s="1"/>
  <c r="J13" i="2"/>
  <c r="K13" i="2"/>
  <c r="M13" i="2"/>
  <c r="N13" i="2" s="1"/>
  <c r="O13" i="2" s="1"/>
  <c r="Q13" i="2"/>
  <c r="H14" i="2"/>
  <c r="I14" i="2" s="1"/>
  <c r="J14" i="2"/>
  <c r="K14" i="2"/>
  <c r="M14" i="2"/>
  <c r="N14" i="2" s="1"/>
  <c r="O14" i="2" s="1"/>
  <c r="H15" i="2"/>
  <c r="I15" i="2" s="1"/>
  <c r="J15" i="2"/>
  <c r="K15" i="2"/>
  <c r="M15" i="2"/>
  <c r="Q15" i="2" s="1"/>
  <c r="H16" i="2"/>
  <c r="I16" i="2" s="1"/>
  <c r="J16" i="2"/>
  <c r="K16" i="2"/>
  <c r="M16" i="2"/>
  <c r="N16" i="2" s="1"/>
  <c r="O16" i="2" s="1"/>
  <c r="H17" i="2"/>
  <c r="I17" i="2" s="1"/>
  <c r="J17" i="2"/>
  <c r="K17" i="2"/>
  <c r="M17" i="2"/>
  <c r="N17" i="2" s="1"/>
  <c r="O17" i="2" s="1"/>
  <c r="Q17" i="2"/>
  <c r="H18" i="2"/>
  <c r="I18" i="2" s="1"/>
  <c r="J18" i="2"/>
  <c r="K18" i="2"/>
  <c r="M18" i="2"/>
  <c r="N18" i="2" s="1"/>
  <c r="O18" i="2" s="1"/>
  <c r="Q18" i="2"/>
  <c r="H19" i="2"/>
  <c r="I19" i="2" s="1"/>
  <c r="J19" i="2"/>
  <c r="K19" i="2"/>
  <c r="M19" i="2"/>
  <c r="Q19" i="2" s="1"/>
  <c r="N19" i="2"/>
  <c r="O19" i="2" s="1"/>
  <c r="H20" i="2"/>
  <c r="I20" i="2" s="1"/>
  <c r="J20" i="2"/>
  <c r="K20" i="2"/>
  <c r="M20" i="2"/>
  <c r="N20" i="2" s="1"/>
  <c r="O20" i="2" s="1"/>
  <c r="H21" i="2"/>
  <c r="I21" i="2" s="1"/>
  <c r="J21" i="2"/>
  <c r="K21" i="2"/>
  <c r="M21" i="2"/>
  <c r="N21" i="2" s="1"/>
  <c r="O21" i="2" s="1"/>
  <c r="H22" i="2"/>
  <c r="I22" i="2" s="1"/>
  <c r="J22" i="2"/>
  <c r="K22" i="2"/>
  <c r="M22" i="2"/>
  <c r="N22" i="2" s="1"/>
  <c r="O22" i="2" s="1"/>
  <c r="Q22" i="2"/>
  <c r="H23" i="2"/>
  <c r="I23" i="2" s="1"/>
  <c r="J23" i="2"/>
  <c r="K23" i="2"/>
  <c r="M23" i="2"/>
  <c r="N23" i="2" s="1"/>
  <c r="O23" i="2" s="1"/>
  <c r="H24" i="2"/>
  <c r="I24" i="2" s="1"/>
  <c r="J24" i="2"/>
  <c r="K24" i="2"/>
  <c r="M24" i="2"/>
  <c r="N24" i="2" s="1"/>
  <c r="O24" i="2" s="1"/>
  <c r="H25" i="2"/>
  <c r="I25" i="2" s="1"/>
  <c r="J25" i="2"/>
  <c r="K25" i="2"/>
  <c r="M25" i="2"/>
  <c r="N25" i="2" s="1"/>
  <c r="O25" i="2" s="1"/>
  <c r="Q25" i="2"/>
  <c r="H26" i="2"/>
  <c r="I26" i="2" s="1"/>
  <c r="J26" i="2"/>
  <c r="K26" i="2"/>
  <c r="M26" i="2"/>
  <c r="N26" i="2" s="1"/>
  <c r="O26" i="2" s="1"/>
  <c r="H27" i="2"/>
  <c r="I27" i="2" s="1"/>
  <c r="J27" i="2"/>
  <c r="K27" i="2"/>
  <c r="M27" i="2"/>
  <c r="N27" i="2" s="1"/>
  <c r="O27" i="2" s="1"/>
  <c r="H28" i="2"/>
  <c r="I28" i="2" s="1"/>
  <c r="J28" i="2"/>
  <c r="K28" i="2"/>
  <c r="M28" i="2"/>
  <c r="N28" i="2" s="1"/>
  <c r="O28" i="2" s="1"/>
  <c r="H29" i="2"/>
  <c r="I29" i="2" s="1"/>
  <c r="J29" i="2"/>
  <c r="K29" i="2"/>
  <c r="M29" i="2"/>
  <c r="Q29" i="2" s="1"/>
  <c r="N29" i="2"/>
  <c r="O29" i="2" s="1"/>
  <c r="H30" i="2"/>
  <c r="I30" i="2" s="1"/>
  <c r="J30" i="2"/>
  <c r="K30" i="2"/>
  <c r="M30" i="2"/>
  <c r="N30" i="2" s="1"/>
  <c r="O30" i="2" s="1"/>
  <c r="Q30" i="2"/>
  <c r="H31" i="2"/>
  <c r="I31" i="2" s="1"/>
  <c r="J31" i="2"/>
  <c r="K31" i="2"/>
  <c r="M31" i="2"/>
  <c r="N31" i="2" s="1"/>
  <c r="O31" i="2" s="1"/>
  <c r="H32" i="2"/>
  <c r="I32" i="2" s="1"/>
  <c r="J32" i="2"/>
  <c r="K32" i="2"/>
  <c r="M32" i="2"/>
  <c r="N32" i="2" s="1"/>
  <c r="O32" i="2" s="1"/>
  <c r="H33" i="2"/>
  <c r="I33" i="2" s="1"/>
  <c r="J33" i="2"/>
  <c r="K33" i="2"/>
  <c r="M33" i="2"/>
  <c r="N33" i="2" s="1"/>
  <c r="O33" i="2" s="1"/>
  <c r="H34" i="2"/>
  <c r="I34" i="2" s="1"/>
  <c r="J34" i="2"/>
  <c r="K34" i="2"/>
  <c r="M34" i="2"/>
  <c r="N34" i="2" s="1"/>
  <c r="O34" i="2" s="1"/>
  <c r="H35" i="2"/>
  <c r="I35" i="2" s="1"/>
  <c r="J35" i="2"/>
  <c r="K35" i="2"/>
  <c r="M35" i="2"/>
  <c r="Q35" i="2" s="1"/>
  <c r="N35" i="2"/>
  <c r="O35" i="2" s="1"/>
  <c r="H36" i="2"/>
  <c r="L36" i="2" s="1"/>
  <c r="J36" i="2"/>
  <c r="K36" i="2"/>
  <c r="M36" i="2"/>
  <c r="N36" i="2" s="1"/>
  <c r="O36" i="2" s="1"/>
  <c r="H37" i="2"/>
  <c r="I37" i="2" s="1"/>
  <c r="J37" i="2"/>
  <c r="K37" i="2"/>
  <c r="M37" i="2"/>
  <c r="Q37" i="2" s="1"/>
  <c r="N37" i="2"/>
  <c r="O37" i="2" s="1"/>
  <c r="H38" i="2"/>
  <c r="I38" i="2" s="1"/>
  <c r="J38" i="2"/>
  <c r="K38" i="2"/>
  <c r="M38" i="2"/>
  <c r="N38" i="2" s="1"/>
  <c r="O38" i="2" s="1"/>
  <c r="Q38" i="2"/>
  <c r="H39" i="2"/>
  <c r="I39" i="2" s="1"/>
  <c r="J39" i="2"/>
  <c r="K39" i="2"/>
  <c r="M39" i="2"/>
  <c r="N39" i="2" s="1"/>
  <c r="O39" i="2" s="1"/>
  <c r="H40" i="2"/>
  <c r="I40" i="2" s="1"/>
  <c r="J40" i="2"/>
  <c r="K40" i="2"/>
  <c r="M40" i="2"/>
  <c r="N40" i="2" s="1"/>
  <c r="O40" i="2" s="1"/>
  <c r="H41" i="2"/>
  <c r="I41" i="2" s="1"/>
  <c r="J41" i="2"/>
  <c r="K41" i="2"/>
  <c r="M41" i="2"/>
  <c r="N41" i="2" s="1"/>
  <c r="O41" i="2" s="1"/>
  <c r="H42" i="2"/>
  <c r="I42" i="2" s="1"/>
  <c r="J42" i="2"/>
  <c r="K42" i="2"/>
  <c r="M42" i="2"/>
  <c r="N42" i="2" s="1"/>
  <c r="O42" i="2" s="1"/>
  <c r="H43" i="2"/>
  <c r="I43" i="2" s="1"/>
  <c r="J43" i="2"/>
  <c r="K43" i="2"/>
  <c r="M43" i="2"/>
  <c r="Q43" i="2" s="1"/>
  <c r="N43" i="2"/>
  <c r="O43" i="2" s="1"/>
  <c r="H44" i="2"/>
  <c r="L44" i="2" s="1"/>
  <c r="J44" i="2"/>
  <c r="K44" i="2"/>
  <c r="M44" i="2"/>
  <c r="N44" i="2" s="1"/>
  <c r="O44" i="2" s="1"/>
  <c r="H45" i="2"/>
  <c r="I45" i="2" s="1"/>
  <c r="J45" i="2"/>
  <c r="K45" i="2"/>
  <c r="M45" i="2"/>
  <c r="Q45" i="2" s="1"/>
  <c r="N45" i="2"/>
  <c r="O45" i="2" s="1"/>
  <c r="H46" i="2"/>
  <c r="I46" i="2" s="1"/>
  <c r="J46" i="2"/>
  <c r="K46" i="2"/>
  <c r="M46" i="2"/>
  <c r="N46" i="2" s="1"/>
  <c r="O46" i="2" s="1"/>
  <c r="H47" i="2"/>
  <c r="I47" i="2" s="1"/>
  <c r="J47" i="2"/>
  <c r="K47" i="2"/>
  <c r="M47" i="2"/>
  <c r="N47" i="2" s="1"/>
  <c r="O47" i="2" s="1"/>
  <c r="Q47" i="2"/>
  <c r="H48" i="2"/>
  <c r="I48" i="2" s="1"/>
  <c r="J48" i="2"/>
  <c r="K48" i="2"/>
  <c r="M48" i="2"/>
  <c r="N48" i="2" s="1"/>
  <c r="O48" i="2" s="1"/>
  <c r="H49" i="2"/>
  <c r="I49" i="2" s="1"/>
  <c r="J49" i="2"/>
  <c r="K49" i="2"/>
  <c r="M49" i="2"/>
  <c r="N49" i="2" s="1"/>
  <c r="O49" i="2" s="1"/>
  <c r="H50" i="2"/>
  <c r="I50" i="2" s="1"/>
  <c r="J50" i="2"/>
  <c r="K50" i="2"/>
  <c r="M50" i="2"/>
  <c r="N50" i="2" s="1"/>
  <c r="O50" i="2" s="1"/>
  <c r="Q50" i="2"/>
  <c r="H51" i="2"/>
  <c r="I51" i="2" s="1"/>
  <c r="J51" i="2"/>
  <c r="K51" i="2"/>
  <c r="M51" i="2"/>
  <c r="Q51" i="2" s="1"/>
  <c r="H52" i="2"/>
  <c r="L52" i="2" s="1"/>
  <c r="J52" i="2"/>
  <c r="K52" i="2"/>
  <c r="M52" i="2"/>
  <c r="N52" i="2" s="1"/>
  <c r="O52" i="2" s="1"/>
  <c r="H53" i="2"/>
  <c r="I53" i="2" s="1"/>
  <c r="J53" i="2"/>
  <c r="K53" i="2"/>
  <c r="M53" i="2"/>
  <c r="N53" i="2" s="1"/>
  <c r="O53" i="2" s="1"/>
  <c r="Q53" i="2"/>
  <c r="H54" i="2"/>
  <c r="I54" i="2" s="1"/>
  <c r="J54" i="2"/>
  <c r="K54" i="2"/>
  <c r="M54" i="2"/>
  <c r="N54" i="2" s="1"/>
  <c r="O54" i="2" s="1"/>
  <c r="Q54" i="2"/>
  <c r="H55" i="2"/>
  <c r="I55" i="2" s="1"/>
  <c r="J55" i="2"/>
  <c r="K55" i="2"/>
  <c r="M55" i="2"/>
  <c r="N55" i="2" s="1"/>
  <c r="O55" i="2" s="1"/>
  <c r="H56" i="2"/>
  <c r="I56" i="2" s="1"/>
  <c r="J56" i="2"/>
  <c r="K56" i="2"/>
  <c r="M56" i="2"/>
  <c r="N56" i="2" s="1"/>
  <c r="O56" i="2" s="1"/>
  <c r="H57" i="2"/>
  <c r="I57" i="2" s="1"/>
  <c r="J57" i="2"/>
  <c r="K57" i="2"/>
  <c r="M57" i="2"/>
  <c r="N57" i="2" s="1"/>
  <c r="O57" i="2" s="1"/>
  <c r="H58" i="2"/>
  <c r="I58" i="2" s="1"/>
  <c r="J58" i="2"/>
  <c r="K58" i="2"/>
  <c r="M58" i="2"/>
  <c r="N58" i="2" s="1"/>
  <c r="O58" i="2" s="1"/>
  <c r="H59" i="2"/>
  <c r="I59" i="2" s="1"/>
  <c r="J59" i="2"/>
  <c r="K59" i="2"/>
  <c r="M59" i="2"/>
  <c r="Q59" i="2" s="1"/>
  <c r="H60" i="2"/>
  <c r="L60" i="2" s="1"/>
  <c r="J60" i="2"/>
  <c r="K60" i="2"/>
  <c r="M60" i="2"/>
  <c r="N60" i="2" s="1"/>
  <c r="O60" i="2" s="1"/>
  <c r="H61" i="2"/>
  <c r="I61" i="2" s="1"/>
  <c r="J61" i="2"/>
  <c r="K61" i="2"/>
  <c r="M61" i="2"/>
  <c r="Q61" i="2" s="1"/>
  <c r="N61" i="2"/>
  <c r="O61" i="2" s="1"/>
  <c r="H62" i="2"/>
  <c r="I62" i="2" s="1"/>
  <c r="J62" i="2"/>
  <c r="K62" i="2"/>
  <c r="M62" i="2"/>
  <c r="N62" i="2" s="1"/>
  <c r="O62" i="2" s="1"/>
  <c r="H63" i="2"/>
  <c r="I63" i="2" s="1"/>
  <c r="J63" i="2"/>
  <c r="K63" i="2"/>
  <c r="M63" i="2"/>
  <c r="N63" i="2" s="1"/>
  <c r="O63" i="2" s="1"/>
  <c r="H64" i="2"/>
  <c r="I64" i="2" s="1"/>
  <c r="J64" i="2"/>
  <c r="K64" i="2"/>
  <c r="M64" i="2"/>
  <c r="N64" i="2" s="1"/>
  <c r="O64" i="2" s="1"/>
  <c r="H65" i="2"/>
  <c r="I65" i="2" s="1"/>
  <c r="J65" i="2"/>
  <c r="K65" i="2"/>
  <c r="M65" i="2"/>
  <c r="N65" i="2" s="1"/>
  <c r="O65" i="2" s="1"/>
  <c r="H66" i="2"/>
  <c r="I66" i="2" s="1"/>
  <c r="J66" i="2"/>
  <c r="K66" i="2"/>
  <c r="M66" i="2"/>
  <c r="N66" i="2" s="1"/>
  <c r="O66" i="2" s="1"/>
  <c r="H67" i="2"/>
  <c r="I67" i="2" s="1"/>
  <c r="J67" i="2"/>
  <c r="K67" i="2"/>
  <c r="M67" i="2"/>
  <c r="N67" i="2"/>
  <c r="O67" i="2" s="1"/>
  <c r="Q67" i="2"/>
  <c r="H68" i="2"/>
  <c r="L68" i="2" s="1"/>
  <c r="J68" i="2"/>
  <c r="K68" i="2"/>
  <c r="M68" i="2"/>
  <c r="N68" i="2" s="1"/>
  <c r="O68" i="2" s="1"/>
  <c r="H69" i="2"/>
  <c r="I69" i="2" s="1"/>
  <c r="J69" i="2"/>
  <c r="K69" i="2"/>
  <c r="M69" i="2"/>
  <c r="Q69" i="2" s="1"/>
  <c r="H70" i="2"/>
  <c r="I70" i="2" s="1"/>
  <c r="J70" i="2"/>
  <c r="K70" i="2"/>
  <c r="M70" i="2"/>
  <c r="N70" i="2" s="1"/>
  <c r="O70" i="2" s="1"/>
  <c r="H71" i="2"/>
  <c r="I71" i="2" s="1"/>
  <c r="J71" i="2"/>
  <c r="K71" i="2"/>
  <c r="M71" i="2"/>
  <c r="N71" i="2" s="1"/>
  <c r="O71" i="2" s="1"/>
  <c r="H72" i="2"/>
  <c r="I72" i="2" s="1"/>
  <c r="J72" i="2"/>
  <c r="K72" i="2"/>
  <c r="M72" i="2"/>
  <c r="N72" i="2" s="1"/>
  <c r="O72" i="2" s="1"/>
  <c r="H73" i="2"/>
  <c r="I73" i="2" s="1"/>
  <c r="J73" i="2"/>
  <c r="K73" i="2"/>
  <c r="M73" i="2"/>
  <c r="N73" i="2"/>
  <c r="O73" i="2" s="1"/>
  <c r="Q73" i="2"/>
  <c r="H74" i="2"/>
  <c r="I74" i="2" s="1"/>
  <c r="J74" i="2"/>
  <c r="K74" i="2"/>
  <c r="M74" i="2"/>
  <c r="N74" i="2" s="1"/>
  <c r="O74" i="2" s="1"/>
  <c r="H75" i="2"/>
  <c r="I75" i="2" s="1"/>
  <c r="J75" i="2"/>
  <c r="K75" i="2"/>
  <c r="M75" i="2"/>
  <c r="Q75" i="2" s="1"/>
  <c r="N75" i="2"/>
  <c r="O75" i="2" s="1"/>
  <c r="H76" i="2"/>
  <c r="I76" i="2" s="1"/>
  <c r="J76" i="2"/>
  <c r="K76" i="2"/>
  <c r="M76" i="2"/>
  <c r="N76" i="2" s="1"/>
  <c r="O76" i="2" s="1"/>
  <c r="H77" i="2"/>
  <c r="I77" i="2" s="1"/>
  <c r="J77" i="2"/>
  <c r="K77" i="2"/>
  <c r="M77" i="2"/>
  <c r="Q77" i="2" s="1"/>
  <c r="N77" i="2"/>
  <c r="O77" i="2" s="1"/>
  <c r="H78" i="2"/>
  <c r="I78" i="2" s="1"/>
  <c r="J78" i="2"/>
  <c r="K78" i="2"/>
  <c r="M78" i="2"/>
  <c r="N78" i="2" s="1"/>
  <c r="O78" i="2" s="1"/>
  <c r="H79" i="2"/>
  <c r="I79" i="2" s="1"/>
  <c r="J79" i="2"/>
  <c r="K79" i="2"/>
  <c r="M79" i="2"/>
  <c r="Q79" i="2" s="1"/>
  <c r="N79" i="2"/>
  <c r="O79" i="2" s="1"/>
  <c r="H80" i="2"/>
  <c r="I80" i="2" s="1"/>
  <c r="J80" i="2"/>
  <c r="K80" i="2"/>
  <c r="M80" i="2"/>
  <c r="N80" i="2" s="1"/>
  <c r="O80" i="2" s="1"/>
  <c r="H81" i="2"/>
  <c r="I81" i="2" s="1"/>
  <c r="J81" i="2"/>
  <c r="K81" i="2"/>
  <c r="M81" i="2"/>
  <c r="N81" i="2" s="1"/>
  <c r="O81" i="2" s="1"/>
  <c r="H82" i="2"/>
  <c r="I82" i="2" s="1"/>
  <c r="J82" i="2"/>
  <c r="K82" i="2"/>
  <c r="M82" i="2"/>
  <c r="N82" i="2" s="1"/>
  <c r="O82" i="2" s="1"/>
  <c r="Q82" i="2"/>
  <c r="H83" i="2"/>
  <c r="I83" i="2" s="1"/>
  <c r="J83" i="2"/>
  <c r="K83" i="2"/>
  <c r="M83" i="2"/>
  <c r="Q83" i="2" s="1"/>
  <c r="H84" i="2"/>
  <c r="L84" i="2" s="1"/>
  <c r="J84" i="2"/>
  <c r="K84" i="2"/>
  <c r="M84" i="2"/>
  <c r="N84" i="2" s="1"/>
  <c r="O84" i="2" s="1"/>
  <c r="H85" i="2"/>
  <c r="I85" i="2" s="1"/>
  <c r="J85" i="2"/>
  <c r="K85" i="2"/>
  <c r="M85" i="2"/>
  <c r="Q85" i="2" s="1"/>
  <c r="N85" i="2"/>
  <c r="O85" i="2" s="1"/>
  <c r="H86" i="2"/>
  <c r="I86" i="2" s="1"/>
  <c r="J86" i="2"/>
  <c r="K86" i="2"/>
  <c r="M86" i="2"/>
  <c r="N86" i="2" s="1"/>
  <c r="O86" i="2" s="1"/>
  <c r="Q86" i="2"/>
  <c r="H87" i="2"/>
  <c r="I87" i="2" s="1"/>
  <c r="J87" i="2"/>
  <c r="K87" i="2"/>
  <c r="M87" i="2"/>
  <c r="N87" i="2" s="1"/>
  <c r="O87" i="2" s="1"/>
  <c r="H88" i="2"/>
  <c r="I88" i="2" s="1"/>
  <c r="J88" i="2"/>
  <c r="K88" i="2"/>
  <c r="M88" i="2"/>
  <c r="H89" i="2"/>
  <c r="I89" i="2" s="1"/>
  <c r="J89" i="2"/>
  <c r="K89" i="2"/>
  <c r="M89" i="2"/>
  <c r="N89" i="2" s="1"/>
  <c r="O89" i="2" s="1"/>
  <c r="H90" i="2"/>
  <c r="I90" i="2" s="1"/>
  <c r="J90" i="2"/>
  <c r="K90" i="2"/>
  <c r="M90" i="2"/>
  <c r="N90" i="2" s="1"/>
  <c r="O90" i="2" s="1"/>
  <c r="H91" i="2"/>
  <c r="I91" i="2" s="1"/>
  <c r="J91" i="2"/>
  <c r="K91" i="2"/>
  <c r="M91" i="2"/>
  <c r="N91" i="2"/>
  <c r="O91" i="2" s="1"/>
  <c r="Q91" i="2"/>
  <c r="H92" i="2"/>
  <c r="L92" i="2" s="1"/>
  <c r="J92" i="2"/>
  <c r="K92" i="2"/>
  <c r="M92" i="2"/>
  <c r="Q92" i="2" s="1"/>
  <c r="H93" i="2"/>
  <c r="I93" i="2" s="1"/>
  <c r="J93" i="2"/>
  <c r="K93" i="2"/>
  <c r="M93" i="2"/>
  <c r="Q93" i="2" s="1"/>
  <c r="H94" i="2"/>
  <c r="L94" i="2" s="1"/>
  <c r="J94" i="2"/>
  <c r="K94" i="2"/>
  <c r="M94" i="2"/>
  <c r="Q94" i="2" s="1"/>
  <c r="H95" i="2"/>
  <c r="L95" i="2" s="1"/>
  <c r="J95" i="2"/>
  <c r="K95" i="2"/>
  <c r="M95" i="2"/>
  <c r="Q95" i="2" s="1"/>
  <c r="H96" i="2"/>
  <c r="L96" i="2" s="1"/>
  <c r="J96" i="2"/>
  <c r="K96" i="2"/>
  <c r="M96" i="2"/>
  <c r="N96" i="2" s="1"/>
  <c r="O96" i="2" s="1"/>
  <c r="Q96" i="2"/>
  <c r="H97" i="2"/>
  <c r="I97" i="2" s="1"/>
  <c r="J97" i="2"/>
  <c r="K97" i="2"/>
  <c r="M97" i="2"/>
  <c r="N97" i="2" s="1"/>
  <c r="O97" i="2" s="1"/>
  <c r="H98" i="2"/>
  <c r="L98" i="2" s="1"/>
  <c r="J98" i="2"/>
  <c r="K98" i="2"/>
  <c r="M98" i="2"/>
  <c r="Q98" i="2" s="1"/>
  <c r="H99" i="2"/>
  <c r="L99" i="2" s="1"/>
  <c r="J99" i="2"/>
  <c r="K99" i="2"/>
  <c r="M99" i="2"/>
  <c r="Q99" i="2" s="1"/>
  <c r="H100" i="2"/>
  <c r="I100" i="2" s="1"/>
  <c r="J100" i="2"/>
  <c r="K100" i="2"/>
  <c r="M100" i="2"/>
  <c r="N100" i="2" s="1"/>
  <c r="O100" i="2" s="1"/>
  <c r="H101" i="2"/>
  <c r="I101" i="2" s="1"/>
  <c r="J101" i="2"/>
  <c r="K101" i="2"/>
  <c r="M101" i="2"/>
  <c r="N101" i="2" s="1"/>
  <c r="O101" i="2" s="1"/>
  <c r="Q101" i="2"/>
  <c r="H102" i="2"/>
  <c r="L102" i="2" s="1"/>
  <c r="J102" i="2"/>
  <c r="K102" i="2"/>
  <c r="M102" i="2"/>
  <c r="Q102" i="2" s="1"/>
  <c r="N102" i="2"/>
  <c r="O102" i="2" s="1"/>
  <c r="H103" i="2"/>
  <c r="L103" i="2" s="1"/>
  <c r="J103" i="2"/>
  <c r="K103" i="2"/>
  <c r="M103" i="2"/>
  <c r="Q103" i="2" s="1"/>
  <c r="N103" i="2"/>
  <c r="O103" i="2" s="1"/>
  <c r="P2" i="44"/>
  <c r="O2" i="44"/>
  <c r="N2" i="44"/>
  <c r="G2" i="44"/>
  <c r="F2" i="44"/>
  <c r="J5" i="44"/>
  <c r="K5" i="44"/>
  <c r="L5" i="44" s="1"/>
  <c r="Q5" i="44"/>
  <c r="R5" i="44"/>
  <c r="J6" i="44"/>
  <c r="K6" i="44"/>
  <c r="M6" i="44" s="1"/>
  <c r="Q6" i="44"/>
  <c r="R6" i="44"/>
  <c r="J7" i="44"/>
  <c r="K7" i="44"/>
  <c r="L7" i="44" s="1"/>
  <c r="Q7" i="44"/>
  <c r="R7" i="44"/>
  <c r="J8" i="44"/>
  <c r="K8" i="44"/>
  <c r="L8" i="44" s="1"/>
  <c r="Q8" i="44"/>
  <c r="R8" i="44"/>
  <c r="J9" i="44"/>
  <c r="K9" i="44"/>
  <c r="L9" i="44" s="1"/>
  <c r="Q9" i="44"/>
  <c r="R9" i="44"/>
  <c r="J10" i="44"/>
  <c r="K10" i="44"/>
  <c r="M10" i="44" s="1"/>
  <c r="Q10" i="44"/>
  <c r="R10" i="44"/>
  <c r="J11" i="44"/>
  <c r="K11" i="44"/>
  <c r="L11" i="44" s="1"/>
  <c r="Q11" i="44"/>
  <c r="R11" i="44"/>
  <c r="J12" i="44"/>
  <c r="K12" i="44"/>
  <c r="L12" i="44" s="1"/>
  <c r="Q12" i="44"/>
  <c r="R12" i="44"/>
  <c r="J13" i="44"/>
  <c r="K13" i="44"/>
  <c r="L13" i="44" s="1"/>
  <c r="Q13" i="44"/>
  <c r="R13" i="44"/>
  <c r="J14" i="44"/>
  <c r="K14" i="44"/>
  <c r="M14" i="44" s="1"/>
  <c r="Q14" i="44"/>
  <c r="R14" i="44"/>
  <c r="J15" i="44"/>
  <c r="K15" i="44"/>
  <c r="L15" i="44" s="1"/>
  <c r="Q15" i="44"/>
  <c r="R15" i="44"/>
  <c r="J16" i="44"/>
  <c r="K16" i="44"/>
  <c r="L16" i="44" s="1"/>
  <c r="Q16" i="44"/>
  <c r="R16" i="44"/>
  <c r="J17" i="44"/>
  <c r="K17" i="44"/>
  <c r="L17" i="44" s="1"/>
  <c r="Q17" i="44"/>
  <c r="R17" i="44"/>
  <c r="J18" i="44"/>
  <c r="K18" i="44"/>
  <c r="M18" i="44" s="1"/>
  <c r="Q18" i="44"/>
  <c r="R18" i="44"/>
  <c r="J19" i="44"/>
  <c r="K19" i="44"/>
  <c r="L19" i="44" s="1"/>
  <c r="Q19" i="44"/>
  <c r="R19" i="44"/>
  <c r="J20" i="44"/>
  <c r="K20" i="44"/>
  <c r="M20" i="44" s="1"/>
  <c r="Q20" i="44"/>
  <c r="R20" i="44"/>
  <c r="J21" i="44"/>
  <c r="K21" i="44"/>
  <c r="L21" i="44" s="1"/>
  <c r="Q21" i="44"/>
  <c r="R21" i="44"/>
  <c r="J22" i="44"/>
  <c r="K22" i="44"/>
  <c r="M22" i="44" s="1"/>
  <c r="Q22" i="44"/>
  <c r="R22" i="44"/>
  <c r="J23" i="44"/>
  <c r="K23" i="44"/>
  <c r="L23" i="44" s="1"/>
  <c r="Q23" i="44"/>
  <c r="R23" i="44"/>
  <c r="J24" i="44"/>
  <c r="K24" i="44"/>
  <c r="L24" i="44" s="1"/>
  <c r="Q24" i="44"/>
  <c r="R24" i="44"/>
  <c r="J25" i="44"/>
  <c r="K25" i="44"/>
  <c r="L25" i="44" s="1"/>
  <c r="Q25" i="44"/>
  <c r="R25" i="44"/>
  <c r="J26" i="44"/>
  <c r="K26" i="44"/>
  <c r="M26" i="44" s="1"/>
  <c r="Q26" i="44"/>
  <c r="R26" i="44"/>
  <c r="J27" i="44"/>
  <c r="K27" i="44"/>
  <c r="L27" i="44" s="1"/>
  <c r="Q27" i="44"/>
  <c r="R27" i="44"/>
  <c r="J28" i="44"/>
  <c r="K28" i="44"/>
  <c r="M28" i="44" s="1"/>
  <c r="Q28" i="44"/>
  <c r="R28" i="44"/>
  <c r="J29" i="44"/>
  <c r="K29" i="44"/>
  <c r="L29" i="44" s="1"/>
  <c r="Q29" i="44"/>
  <c r="R29" i="44"/>
  <c r="J30" i="44"/>
  <c r="K30" i="44"/>
  <c r="M30" i="44" s="1"/>
  <c r="Q30" i="44"/>
  <c r="R30" i="44"/>
  <c r="J31" i="44"/>
  <c r="K31" i="44"/>
  <c r="L31" i="44" s="1"/>
  <c r="Q31" i="44"/>
  <c r="R31" i="44"/>
  <c r="J32" i="44"/>
  <c r="K32" i="44"/>
  <c r="L32" i="44" s="1"/>
  <c r="Q32" i="44"/>
  <c r="R32" i="44"/>
  <c r="J33" i="44"/>
  <c r="K33" i="44"/>
  <c r="L33" i="44" s="1"/>
  <c r="Q33" i="44"/>
  <c r="R33" i="44"/>
  <c r="J34" i="44"/>
  <c r="K34" i="44"/>
  <c r="M34" i="44" s="1"/>
  <c r="Q34" i="44"/>
  <c r="R34" i="44"/>
  <c r="J35" i="44"/>
  <c r="K35" i="44"/>
  <c r="L35" i="44" s="1"/>
  <c r="Q35" i="44"/>
  <c r="R35" i="44"/>
  <c r="J36" i="44"/>
  <c r="K36" i="44"/>
  <c r="M36" i="44" s="1"/>
  <c r="Q36" i="44"/>
  <c r="R36" i="44"/>
  <c r="J37" i="44"/>
  <c r="K37" i="44"/>
  <c r="L37" i="44" s="1"/>
  <c r="Q37" i="44"/>
  <c r="R37" i="44"/>
  <c r="J38" i="44"/>
  <c r="K38" i="44"/>
  <c r="M38" i="44" s="1"/>
  <c r="Q38" i="44"/>
  <c r="R38" i="44"/>
  <c r="J39" i="44"/>
  <c r="K39" i="44"/>
  <c r="L39" i="44" s="1"/>
  <c r="Q39" i="44"/>
  <c r="R39" i="44"/>
  <c r="J40" i="44"/>
  <c r="K40" i="44"/>
  <c r="M40" i="44" s="1"/>
  <c r="Q40" i="44"/>
  <c r="R40" i="44"/>
  <c r="J41" i="44"/>
  <c r="K41" i="44"/>
  <c r="L41" i="44" s="1"/>
  <c r="Q41" i="44"/>
  <c r="R41" i="44"/>
  <c r="J42" i="44"/>
  <c r="K42" i="44"/>
  <c r="M42" i="44" s="1"/>
  <c r="Q42" i="44"/>
  <c r="R42" i="44"/>
  <c r="J43" i="44"/>
  <c r="K43" i="44"/>
  <c r="L43" i="44" s="1"/>
  <c r="Q43" i="44"/>
  <c r="R43" i="44"/>
  <c r="J44" i="44"/>
  <c r="K44" i="44"/>
  <c r="L44" i="44" s="1"/>
  <c r="Q44" i="44"/>
  <c r="R44" i="44"/>
  <c r="J45" i="44"/>
  <c r="K45" i="44"/>
  <c r="L45" i="44" s="1"/>
  <c r="Q45" i="44"/>
  <c r="R45" i="44"/>
  <c r="J46" i="44"/>
  <c r="K46" i="44"/>
  <c r="L46" i="44" s="1"/>
  <c r="Q46" i="44"/>
  <c r="R46" i="44"/>
  <c r="J47" i="44"/>
  <c r="K47" i="44"/>
  <c r="L47" i="44" s="1"/>
  <c r="Q47" i="44"/>
  <c r="R47" i="44"/>
  <c r="J48" i="44"/>
  <c r="K48" i="44"/>
  <c r="M48" i="44" s="1"/>
  <c r="Q48" i="44"/>
  <c r="R48" i="44"/>
  <c r="J49" i="44"/>
  <c r="K49" i="44"/>
  <c r="L49" i="44" s="1"/>
  <c r="Q49" i="44"/>
  <c r="R49" i="44"/>
  <c r="J50" i="44"/>
  <c r="K50" i="44"/>
  <c r="M50" i="44" s="1"/>
  <c r="Q50" i="44"/>
  <c r="R50" i="44"/>
  <c r="J51" i="44"/>
  <c r="K51" i="44"/>
  <c r="L51" i="44" s="1"/>
  <c r="Q51" i="44"/>
  <c r="R51" i="44"/>
  <c r="J52" i="44"/>
  <c r="K52" i="44"/>
  <c r="L52" i="44" s="1"/>
  <c r="Q52" i="44"/>
  <c r="R52" i="44"/>
  <c r="J53" i="44"/>
  <c r="K53" i="44"/>
  <c r="L53" i="44" s="1"/>
  <c r="Q53" i="44"/>
  <c r="R53" i="44"/>
  <c r="C6" i="57"/>
  <c r="C6" i="47"/>
  <c r="N93" i="2" l="1"/>
  <c r="O93" i="2" s="1"/>
  <c r="Q70" i="2"/>
  <c r="Q63" i="2"/>
  <c r="N59" i="2"/>
  <c r="O59" i="2" s="1"/>
  <c r="Q41" i="2"/>
  <c r="Q27" i="2"/>
  <c r="Q21" i="2"/>
  <c r="M2" i="56"/>
  <c r="L2" i="56" s="1"/>
  <c r="N99" i="2"/>
  <c r="O99" i="2" s="1"/>
  <c r="N69" i="2"/>
  <c r="O69" i="2" s="1"/>
  <c r="Q62" i="2"/>
  <c r="Q57" i="2"/>
  <c r="N51" i="2"/>
  <c r="O51" i="2" s="1"/>
  <c r="Q46" i="2"/>
  <c r="Q31" i="2"/>
  <c r="N15" i="2"/>
  <c r="O15" i="2" s="1"/>
  <c r="N7" i="2"/>
  <c r="O7" i="2" s="1"/>
  <c r="N98" i="2"/>
  <c r="O98" i="2" s="1"/>
  <c r="N92" i="2"/>
  <c r="O92" i="2" s="1"/>
  <c r="Q89" i="2"/>
  <c r="N83" i="2"/>
  <c r="O83" i="2" s="1"/>
  <c r="Q78" i="2"/>
  <c r="V2" i="44"/>
  <c r="U2" i="44" s="1"/>
  <c r="C17" i="69"/>
  <c r="C16" i="69"/>
  <c r="Q12" i="68"/>
  <c r="N30" i="68"/>
  <c r="O30" i="68" s="1"/>
  <c r="Q38" i="68"/>
  <c r="Q46" i="68"/>
  <c r="Q54" i="68"/>
  <c r="Q62" i="68"/>
  <c r="N69" i="68"/>
  <c r="O69" i="68" s="1"/>
  <c r="Q76" i="68"/>
  <c r="Q93" i="68"/>
  <c r="C18" i="69"/>
  <c r="Q92" i="68"/>
  <c r="C19" i="69"/>
  <c r="Q6" i="2"/>
  <c r="Q71" i="2"/>
  <c r="Q65" i="2"/>
  <c r="Q39" i="2"/>
  <c r="Q33" i="2"/>
  <c r="N68" i="68"/>
  <c r="O68" i="68" s="1"/>
  <c r="Q74" i="2"/>
  <c r="Q42" i="2"/>
  <c r="Q10" i="2"/>
  <c r="S2" i="2"/>
  <c r="R2" i="2" s="1"/>
  <c r="Q97" i="2"/>
  <c r="N94" i="2"/>
  <c r="O94" i="2" s="1"/>
  <c r="Q66" i="2"/>
  <c r="Q34" i="2"/>
  <c r="Q14" i="2"/>
  <c r="N5" i="68"/>
  <c r="O5" i="68" s="1"/>
  <c r="N13" i="68"/>
  <c r="O13" i="68" s="1"/>
  <c r="N77" i="68"/>
  <c r="O77" i="68" s="1"/>
  <c r="Q84" i="68"/>
  <c r="Q100" i="68"/>
  <c r="Q49" i="2"/>
  <c r="Q23" i="2"/>
  <c r="N70" i="68"/>
  <c r="O70" i="68" s="1"/>
  <c r="Q90" i="2"/>
  <c r="Q87" i="2"/>
  <c r="Q81" i="2"/>
  <c r="Q55" i="2"/>
  <c r="Q58" i="2"/>
  <c r="Q26" i="2"/>
  <c r="AH48" i="46"/>
  <c r="AH44" i="46"/>
  <c r="AH40" i="46"/>
  <c r="AH36" i="46"/>
  <c r="AH32" i="46"/>
  <c r="AH28" i="46"/>
  <c r="AH24" i="46"/>
  <c r="AH20" i="46"/>
  <c r="AH16" i="46"/>
  <c r="AH12" i="46"/>
  <c r="AH8" i="46"/>
  <c r="AH5" i="46"/>
  <c r="AH3" i="46"/>
  <c r="AH50" i="46"/>
  <c r="AH46" i="46"/>
  <c r="AH42" i="46"/>
  <c r="AH38" i="46"/>
  <c r="AH34" i="46"/>
  <c r="AH30" i="46"/>
  <c r="AH26" i="46"/>
  <c r="AH22" i="46"/>
  <c r="AH18" i="46"/>
  <c r="AH14" i="46"/>
  <c r="AH10" i="46"/>
  <c r="AH6" i="46"/>
  <c r="AH2" i="46"/>
  <c r="S52" i="44"/>
  <c r="S29" i="44"/>
  <c r="S20" i="44"/>
  <c r="S44" i="44"/>
  <c r="M44" i="44"/>
  <c r="S28" i="44"/>
  <c r="S8" i="44"/>
  <c r="M24" i="44"/>
  <c r="L36" i="44"/>
  <c r="S35" i="44"/>
  <c r="M8" i="44"/>
  <c r="M52" i="44"/>
  <c r="S13" i="44"/>
  <c r="M12" i="44"/>
  <c r="S38" i="44"/>
  <c r="S36" i="44"/>
  <c r="S32" i="44"/>
  <c r="L28" i="44"/>
  <c r="S49" i="44"/>
  <c r="S45" i="44"/>
  <c r="M39" i="44"/>
  <c r="M32" i="44"/>
  <c r="S27" i="44"/>
  <c r="S21" i="44"/>
  <c r="L18" i="44"/>
  <c r="S12" i="44"/>
  <c r="S11" i="44"/>
  <c r="S5" i="44"/>
  <c r="AB2" i="48"/>
  <c r="AA2" i="48" s="1"/>
  <c r="I98" i="2"/>
  <c r="I92" i="2"/>
  <c r="L20" i="2"/>
  <c r="L18" i="2"/>
  <c r="L12" i="2"/>
  <c r="I94" i="2"/>
  <c r="L34" i="2"/>
  <c r="L54" i="2"/>
  <c r="L39" i="2"/>
  <c r="L24" i="2"/>
  <c r="L22" i="2"/>
  <c r="L97" i="2"/>
  <c r="L93" i="2"/>
  <c r="L91" i="2"/>
  <c r="L86" i="2"/>
  <c r="L64" i="2"/>
  <c r="L62" i="2"/>
  <c r="L47" i="2"/>
  <c r="L75" i="2"/>
  <c r="L9" i="2"/>
  <c r="L51" i="2"/>
  <c r="L43" i="2"/>
  <c r="L40" i="2"/>
  <c r="L28" i="2"/>
  <c r="L26" i="2"/>
  <c r="L16" i="2"/>
  <c r="I92" i="68"/>
  <c r="L82" i="2"/>
  <c r="L66" i="2"/>
  <c r="L79" i="2"/>
  <c r="L71" i="2"/>
  <c r="L58" i="2"/>
  <c r="L32" i="2"/>
  <c r="L30" i="2"/>
  <c r="I8" i="2"/>
  <c r="I20" i="68"/>
  <c r="L23" i="68"/>
  <c r="I28" i="68"/>
  <c r="L31" i="68"/>
  <c r="L53" i="68"/>
  <c r="L83" i="2"/>
  <c r="L70" i="2"/>
  <c r="L55" i="2"/>
  <c r="L42" i="2"/>
  <c r="L38" i="2"/>
  <c r="I100" i="68"/>
  <c r="I102" i="68"/>
  <c r="L87" i="2"/>
  <c r="L78" i="2"/>
  <c r="L74" i="2"/>
  <c r="L67" i="2"/>
  <c r="L63" i="2"/>
  <c r="L56" i="2"/>
  <c r="L50" i="2"/>
  <c r="L46" i="2"/>
  <c r="L35" i="2"/>
  <c r="L31" i="2"/>
  <c r="L27" i="2"/>
  <c r="L23" i="2"/>
  <c r="L19" i="2"/>
  <c r="L17" i="2"/>
  <c r="L11" i="2"/>
  <c r="L10" i="2"/>
  <c r="L52" i="68"/>
  <c r="L63" i="68"/>
  <c r="I82" i="68"/>
  <c r="I84" i="68"/>
  <c r="I96" i="68"/>
  <c r="L76" i="2"/>
  <c r="L59" i="2"/>
  <c r="L48" i="2"/>
  <c r="I99" i="2"/>
  <c r="L88" i="2"/>
  <c r="L80" i="2"/>
  <c r="L72" i="2"/>
  <c r="I103" i="2"/>
  <c r="I102" i="2"/>
  <c r="I95" i="2"/>
  <c r="L90" i="2"/>
  <c r="L85" i="2"/>
  <c r="I84" i="2"/>
  <c r="L77" i="2"/>
  <c r="L69" i="2"/>
  <c r="I68" i="2"/>
  <c r="L61" i="2"/>
  <c r="I60" i="2"/>
  <c r="L53" i="2"/>
  <c r="I52" i="2"/>
  <c r="L45" i="2"/>
  <c r="I44" i="2"/>
  <c r="L37" i="2"/>
  <c r="I36" i="2"/>
  <c r="L29" i="2"/>
  <c r="L21" i="2"/>
  <c r="L13" i="2"/>
  <c r="L7" i="2"/>
  <c r="L6" i="2"/>
  <c r="I24" i="68"/>
  <c r="L27" i="68"/>
  <c r="L59" i="68"/>
  <c r="L81" i="2"/>
  <c r="L73" i="2"/>
  <c r="L65" i="2"/>
  <c r="L57" i="2"/>
  <c r="L49" i="2"/>
  <c r="L41" i="2"/>
  <c r="L33" i="2"/>
  <c r="L25" i="2"/>
  <c r="L15" i="2"/>
  <c r="L14" i="2"/>
  <c r="L5" i="2"/>
  <c r="L19" i="68"/>
  <c r="I32" i="68"/>
  <c r="L51" i="68"/>
  <c r="L55" i="68"/>
  <c r="I86" i="68"/>
  <c r="I88" i="68"/>
  <c r="I90" i="68"/>
  <c r="I94" i="68"/>
  <c r="I98" i="68"/>
  <c r="L54" i="68"/>
  <c r="L57" i="68"/>
  <c r="C11" i="69"/>
  <c r="C7" i="69"/>
  <c r="C12" i="69"/>
  <c r="C8" i="69"/>
  <c r="C13" i="69"/>
  <c r="C10" i="69"/>
  <c r="E20" i="69"/>
  <c r="B25" i="69"/>
  <c r="E37" i="69"/>
  <c r="N94" i="68"/>
  <c r="O94" i="68" s="1"/>
  <c r="Q99" i="68"/>
  <c r="N102" i="68"/>
  <c r="O102" i="68" s="1"/>
  <c r="L10" i="68"/>
  <c r="L14" i="68"/>
  <c r="L18" i="68"/>
  <c r="L61" i="68"/>
  <c r="L4" i="68"/>
  <c r="L12" i="68"/>
  <c r="L16" i="68"/>
  <c r="I6" i="68"/>
  <c r="I8" i="68"/>
  <c r="N20" i="68"/>
  <c r="O20" i="68" s="1"/>
  <c r="L22" i="68"/>
  <c r="N24" i="68"/>
  <c r="O24" i="68" s="1"/>
  <c r="L26" i="68"/>
  <c r="N28" i="68"/>
  <c r="O28" i="68" s="1"/>
  <c r="L30" i="68"/>
  <c r="N32" i="68"/>
  <c r="O32" i="68" s="1"/>
  <c r="L5" i="68"/>
  <c r="L7" i="68"/>
  <c r="L9" i="68"/>
  <c r="L11" i="68"/>
  <c r="L13" i="68"/>
  <c r="L15" i="68"/>
  <c r="L17" i="68"/>
  <c r="L21" i="68"/>
  <c r="L25" i="68"/>
  <c r="L29" i="68"/>
  <c r="L33" i="68"/>
  <c r="L34" i="68"/>
  <c r="L35" i="68"/>
  <c r="L36" i="68"/>
  <c r="L37" i="68"/>
  <c r="L38" i="68"/>
  <c r="L39" i="68"/>
  <c r="L40" i="68"/>
  <c r="L41" i="68"/>
  <c r="L42" i="68"/>
  <c r="L43" i="68"/>
  <c r="L44" i="68"/>
  <c r="L45" i="68"/>
  <c r="L46" i="68"/>
  <c r="L47" i="68"/>
  <c r="L48" i="68"/>
  <c r="L49" i="68"/>
  <c r="L50" i="68"/>
  <c r="L56" i="68"/>
  <c r="L58" i="68"/>
  <c r="L60" i="68"/>
  <c r="L62" i="68"/>
  <c r="L64" i="68"/>
  <c r="L66" i="68"/>
  <c r="L68" i="68"/>
  <c r="L70" i="68"/>
  <c r="L72" i="68"/>
  <c r="L74" i="68"/>
  <c r="L76" i="68"/>
  <c r="L78" i="68"/>
  <c r="L80" i="68"/>
  <c r="L65" i="68"/>
  <c r="L67" i="68"/>
  <c r="L69" i="68"/>
  <c r="L71" i="68"/>
  <c r="L73" i="68"/>
  <c r="L75" i="68"/>
  <c r="L77" i="68"/>
  <c r="L79" i="68"/>
  <c r="L81" i="68"/>
  <c r="L83" i="68"/>
  <c r="L85" i="68"/>
  <c r="L87" i="68"/>
  <c r="L89" i="68"/>
  <c r="L91" i="68"/>
  <c r="L93" i="68"/>
  <c r="L95" i="68"/>
  <c r="L97" i="68"/>
  <c r="L99" i="68"/>
  <c r="L101" i="68"/>
  <c r="L103" i="68"/>
  <c r="F17" i="69"/>
  <c r="M51" i="44"/>
  <c r="L48" i="44"/>
  <c r="L42" i="44"/>
  <c r="S40" i="44"/>
  <c r="L34" i="44"/>
  <c r="M31" i="44"/>
  <c r="S22" i="44"/>
  <c r="S19" i="44"/>
  <c r="S14" i="44"/>
  <c r="L10" i="44"/>
  <c r="M7" i="44"/>
  <c r="S50" i="44"/>
  <c r="S48" i="44"/>
  <c r="S47" i="44"/>
  <c r="S37" i="44"/>
  <c r="S30" i="44"/>
  <c r="L26" i="44"/>
  <c r="S24" i="44"/>
  <c r="M23" i="44"/>
  <c r="L20" i="44"/>
  <c r="S16" i="44"/>
  <c r="M15" i="44"/>
  <c r="S6" i="44"/>
  <c r="S53" i="44"/>
  <c r="S51" i="44"/>
  <c r="L50" i="44"/>
  <c r="S46" i="44"/>
  <c r="S42" i="44"/>
  <c r="L40" i="44"/>
  <c r="M35" i="44"/>
  <c r="S33" i="44"/>
  <c r="S31" i="44"/>
  <c r="L30" i="44"/>
  <c r="S26" i="44"/>
  <c r="M19" i="44"/>
  <c r="S17" i="44"/>
  <c r="S15" i="44"/>
  <c r="L14" i="44"/>
  <c r="S10" i="44"/>
  <c r="M16" i="44"/>
  <c r="M47" i="44"/>
  <c r="M43" i="44"/>
  <c r="S41" i="44"/>
  <c r="S39" i="44"/>
  <c r="L38" i="44"/>
  <c r="S34" i="44"/>
  <c r="M27" i="44"/>
  <c r="S25" i="44"/>
  <c r="S23" i="44"/>
  <c r="L22" i="44"/>
  <c r="S18" i="44"/>
  <c r="M11" i="44"/>
  <c r="S9" i="44"/>
  <c r="S7" i="44"/>
  <c r="L6" i="44"/>
  <c r="S43" i="44"/>
  <c r="L101" i="2"/>
  <c r="Q100" i="2"/>
  <c r="L100" i="2"/>
  <c r="L89" i="2"/>
  <c r="N88" i="2"/>
  <c r="O88" i="2" s="1"/>
  <c r="Q88" i="2"/>
  <c r="I96" i="2"/>
  <c r="N95" i="2"/>
  <c r="O95" i="2" s="1"/>
  <c r="Q84" i="2"/>
  <c r="Q80" i="2"/>
  <c r="Q76" i="2"/>
  <c r="Q72" i="2"/>
  <c r="Q68" i="2"/>
  <c r="Q64" i="2"/>
  <c r="Q60" i="2"/>
  <c r="Q56" i="2"/>
  <c r="Q52" i="2"/>
  <c r="Q48" i="2"/>
  <c r="Q44" i="2"/>
  <c r="Q40" i="2"/>
  <c r="Q36" i="2"/>
  <c r="Q32" i="2"/>
  <c r="Q28" i="2"/>
  <c r="Q24" i="2"/>
  <c r="Q20" i="2"/>
  <c r="Q16" i="2"/>
  <c r="Q12" i="2"/>
  <c r="Q8" i="2"/>
  <c r="M46" i="44"/>
  <c r="M53" i="44"/>
  <c r="M49" i="44"/>
  <c r="M45" i="44"/>
  <c r="M41" i="44"/>
  <c r="M37" i="44"/>
  <c r="M33" i="44"/>
  <c r="M29" i="44"/>
  <c r="M25" i="44"/>
  <c r="M21" i="44"/>
  <c r="M17" i="44"/>
  <c r="M13" i="44"/>
  <c r="M9" i="44"/>
  <c r="M5" i="44"/>
  <c r="J230" i="64"/>
  <c r="J142" i="64"/>
  <c r="J143" i="64"/>
  <c r="J144" i="64"/>
  <c r="J145" i="64"/>
  <c r="J146" i="64"/>
  <c r="J147" i="64"/>
  <c r="J148" i="64"/>
  <c r="J149" i="64"/>
  <c r="J150" i="64"/>
  <c r="J151" i="64"/>
  <c r="J202" i="64"/>
  <c r="J239" i="64"/>
  <c r="J240" i="64"/>
  <c r="J5" i="64"/>
  <c r="J45" i="64"/>
  <c r="J69" i="64"/>
  <c r="J243" i="64"/>
  <c r="J244" i="64"/>
  <c r="J245" i="64"/>
  <c r="J246" i="64"/>
  <c r="J247" i="64"/>
  <c r="J248" i="64"/>
  <c r="J249" i="64"/>
  <c r="J250" i="64"/>
  <c r="J251" i="64"/>
  <c r="J252" i="64"/>
  <c r="J253" i="64"/>
  <c r="J254" i="64"/>
  <c r="J255" i="64"/>
  <c r="J256" i="64"/>
  <c r="J257" i="64"/>
  <c r="J349" i="64"/>
  <c r="J6" i="64"/>
  <c r="J7" i="64"/>
  <c r="J8" i="64"/>
  <c r="J9" i="64"/>
  <c r="J10" i="64"/>
  <c r="J11" i="64"/>
  <c r="J12" i="64"/>
  <c r="J13" i="64"/>
  <c r="J14" i="64"/>
  <c r="J15" i="64"/>
  <c r="J16" i="64"/>
  <c r="J17" i="64"/>
  <c r="J51" i="64"/>
  <c r="J52" i="64"/>
  <c r="J53" i="64"/>
  <c r="J54" i="64"/>
  <c r="J55" i="64"/>
  <c r="J56" i="64"/>
  <c r="J57" i="64"/>
  <c r="J58" i="64"/>
  <c r="J112" i="64"/>
  <c r="J113" i="64"/>
  <c r="J114" i="64"/>
  <c r="J115" i="64"/>
  <c r="J116" i="64"/>
  <c r="J117" i="64"/>
  <c r="J118" i="64"/>
  <c r="J119" i="64"/>
  <c r="J120" i="64"/>
  <c r="J121" i="64"/>
  <c r="J122" i="64"/>
  <c r="J123" i="64"/>
  <c r="J131" i="64"/>
  <c r="J132" i="64"/>
  <c r="J133" i="64"/>
  <c r="J134" i="64"/>
  <c r="J135" i="64"/>
  <c r="J183" i="64"/>
  <c r="J184" i="64"/>
  <c r="J185" i="64"/>
  <c r="J186" i="64"/>
  <c r="J187" i="64"/>
  <c r="J188" i="64"/>
  <c r="J189" i="64"/>
  <c r="J190" i="64"/>
  <c r="J191" i="64"/>
  <c r="J192" i="64"/>
  <c r="J193" i="64"/>
  <c r="J194" i="64"/>
  <c r="J195" i="64"/>
  <c r="J196" i="64"/>
  <c r="J197" i="64"/>
  <c r="J198" i="64"/>
  <c r="J199" i="64"/>
  <c r="J200" i="64"/>
  <c r="J258" i="64"/>
  <c r="J259" i="64"/>
  <c r="J260" i="64"/>
  <c r="J261" i="64"/>
  <c r="J262" i="64"/>
  <c r="J263" i="64"/>
  <c r="J264" i="64"/>
  <c r="J265" i="64"/>
  <c r="J266" i="64"/>
  <c r="J267" i="64"/>
  <c r="J302" i="64"/>
  <c r="J299" i="64"/>
  <c r="J300" i="64"/>
  <c r="J301" i="64"/>
  <c r="J303" i="64"/>
  <c r="J304" i="64"/>
  <c r="J305" i="64"/>
  <c r="J306" i="64"/>
  <c r="J307" i="64"/>
  <c r="J308" i="64"/>
  <c r="J309" i="64"/>
  <c r="J310" i="64"/>
  <c r="J311" i="64"/>
  <c r="J312" i="64"/>
  <c r="J313" i="64"/>
  <c r="J314" i="64"/>
  <c r="J316" i="64"/>
  <c r="J317" i="64"/>
  <c r="J318" i="64"/>
  <c r="J319" i="64"/>
  <c r="J320" i="64"/>
  <c r="J321" i="64"/>
  <c r="J322" i="64"/>
  <c r="J323" i="64"/>
  <c r="J280" i="64"/>
  <c r="J281" i="64"/>
  <c r="J211" i="64"/>
  <c r="J217" i="64"/>
  <c r="J209" i="64"/>
  <c r="D223" i="64"/>
  <c r="E223" i="64"/>
  <c r="J223" i="64" s="1"/>
  <c r="F223" i="64"/>
  <c r="D325" i="64"/>
  <c r="E325" i="64"/>
  <c r="J325" i="64" s="1"/>
  <c r="F325" i="64"/>
  <c r="D24" i="64"/>
  <c r="E24" i="64"/>
  <c r="J24" i="64" s="1"/>
  <c r="F24" i="64"/>
  <c r="D22" i="64"/>
  <c r="E22" i="64"/>
  <c r="J22" i="64" s="1"/>
  <c r="F22" i="64"/>
  <c r="D218" i="64"/>
  <c r="E218" i="64"/>
  <c r="J218" i="64" s="1"/>
  <c r="F218" i="64"/>
  <c r="D221" i="64"/>
  <c r="E221" i="64"/>
  <c r="J221" i="64" s="1"/>
  <c r="F221" i="64"/>
  <c r="D364" i="64"/>
  <c r="E364" i="64"/>
  <c r="J364" i="64" s="1"/>
  <c r="F364" i="64"/>
  <c r="D86" i="64"/>
  <c r="E86" i="64"/>
  <c r="J86" i="64" s="1"/>
  <c r="F86" i="64"/>
  <c r="D130" i="64"/>
  <c r="E130" i="64"/>
  <c r="J130" i="64" s="1"/>
  <c r="F130" i="64"/>
  <c r="D271" i="64"/>
  <c r="E271" i="64"/>
  <c r="J271" i="64" s="1"/>
  <c r="F271" i="64"/>
  <c r="D287" i="64"/>
  <c r="E287" i="64"/>
  <c r="J287" i="64" s="1"/>
  <c r="F287" i="64"/>
  <c r="D361" i="64"/>
  <c r="E361" i="64"/>
  <c r="J361" i="64" s="1"/>
  <c r="F361" i="64"/>
  <c r="D74" i="64"/>
  <c r="E74" i="64"/>
  <c r="J74" i="64" s="1"/>
  <c r="F74" i="64"/>
  <c r="D75" i="64"/>
  <c r="E75" i="64"/>
  <c r="J75" i="64" s="1"/>
  <c r="F75" i="64"/>
  <c r="D80" i="64"/>
  <c r="E80" i="64"/>
  <c r="J80" i="64" s="1"/>
  <c r="F80" i="64"/>
  <c r="D203" i="64"/>
  <c r="E203" i="64"/>
  <c r="J203" i="64" s="1"/>
  <c r="F203" i="64"/>
  <c r="D215" i="64"/>
  <c r="E215" i="64"/>
  <c r="J215" i="64" s="1"/>
  <c r="F215" i="64"/>
  <c r="D142" i="64"/>
  <c r="E142" i="64"/>
  <c r="F142" i="64"/>
  <c r="D143" i="64"/>
  <c r="E143" i="64"/>
  <c r="F143" i="64"/>
  <c r="D144" i="64"/>
  <c r="E144" i="64"/>
  <c r="F144" i="64"/>
  <c r="D145" i="64"/>
  <c r="E145" i="64"/>
  <c r="F145" i="64"/>
  <c r="D146" i="64"/>
  <c r="E146" i="64"/>
  <c r="F146" i="64"/>
  <c r="D147" i="64"/>
  <c r="E147" i="64"/>
  <c r="F147" i="64"/>
  <c r="D148" i="64"/>
  <c r="E148" i="64"/>
  <c r="F148" i="64"/>
  <c r="D149" i="64"/>
  <c r="E149" i="64"/>
  <c r="F149" i="64"/>
  <c r="D150" i="64"/>
  <c r="E150" i="64"/>
  <c r="F150" i="64"/>
  <c r="D151" i="64"/>
  <c r="E151" i="64"/>
  <c r="F151" i="64"/>
  <c r="D202" i="64"/>
  <c r="E202" i="64"/>
  <c r="F202" i="64"/>
  <c r="D239" i="64"/>
  <c r="E239" i="64"/>
  <c r="F239" i="64"/>
  <c r="D240" i="64"/>
  <c r="E240" i="64"/>
  <c r="F240" i="64"/>
  <c r="D5" i="64"/>
  <c r="E5" i="64"/>
  <c r="F5" i="64"/>
  <c r="D45" i="64"/>
  <c r="E45" i="64"/>
  <c r="F45" i="64"/>
  <c r="D69" i="64"/>
  <c r="E69" i="64"/>
  <c r="F69" i="64"/>
  <c r="D242" i="64"/>
  <c r="E242" i="64"/>
  <c r="J242" i="64" s="1"/>
  <c r="F242" i="64"/>
  <c r="D243" i="64"/>
  <c r="E243" i="64"/>
  <c r="F243" i="64"/>
  <c r="D244" i="64"/>
  <c r="E244" i="64"/>
  <c r="F244" i="64"/>
  <c r="D245" i="64"/>
  <c r="E245" i="64"/>
  <c r="F245" i="64"/>
  <c r="D246" i="64"/>
  <c r="E246" i="64"/>
  <c r="F246" i="64"/>
  <c r="D247" i="64"/>
  <c r="E247" i="64"/>
  <c r="F247" i="64"/>
  <c r="D248" i="64"/>
  <c r="E248" i="64"/>
  <c r="F248" i="64"/>
  <c r="D249" i="64"/>
  <c r="E249" i="64"/>
  <c r="F249" i="64"/>
  <c r="D250" i="64"/>
  <c r="E250" i="64"/>
  <c r="F250" i="64"/>
  <c r="D251" i="64"/>
  <c r="E251" i="64"/>
  <c r="F251" i="64"/>
  <c r="D252" i="64"/>
  <c r="E252" i="64"/>
  <c r="F252" i="64"/>
  <c r="D253" i="64"/>
  <c r="E253" i="64"/>
  <c r="F253" i="64"/>
  <c r="D254" i="64"/>
  <c r="E254" i="64"/>
  <c r="F254" i="64"/>
  <c r="D255" i="64"/>
  <c r="E255" i="64"/>
  <c r="F255" i="64"/>
  <c r="D256" i="64"/>
  <c r="E256" i="64"/>
  <c r="F256" i="64"/>
  <c r="D257" i="64"/>
  <c r="E257" i="64"/>
  <c r="F257" i="64"/>
  <c r="D337" i="64"/>
  <c r="E337" i="64"/>
  <c r="J337" i="64" s="1"/>
  <c r="F337" i="64"/>
  <c r="D349" i="64"/>
  <c r="E349" i="64"/>
  <c r="F349" i="64"/>
  <c r="D356" i="64"/>
  <c r="E356" i="64"/>
  <c r="J356" i="64" s="1"/>
  <c r="F356" i="64"/>
  <c r="D357" i="64"/>
  <c r="E357" i="64"/>
  <c r="J357" i="64" s="1"/>
  <c r="F357" i="64"/>
  <c r="D6" i="64"/>
  <c r="E6" i="64"/>
  <c r="F6" i="64"/>
  <c r="D7" i="64"/>
  <c r="E7" i="64"/>
  <c r="F7" i="64"/>
  <c r="D8" i="64"/>
  <c r="E8" i="64"/>
  <c r="F8" i="64"/>
  <c r="D9" i="64"/>
  <c r="E9" i="64"/>
  <c r="F9" i="64"/>
  <c r="D10" i="64"/>
  <c r="E10" i="64"/>
  <c r="F10" i="64"/>
  <c r="D11" i="64"/>
  <c r="E11" i="64"/>
  <c r="F11" i="64"/>
  <c r="D12" i="64"/>
  <c r="E12" i="64"/>
  <c r="F12" i="64"/>
  <c r="D13" i="64"/>
  <c r="E13" i="64"/>
  <c r="F13" i="64"/>
  <c r="D14" i="64"/>
  <c r="E14" i="64"/>
  <c r="F14" i="64"/>
  <c r="D15" i="64"/>
  <c r="E15" i="64"/>
  <c r="F15" i="64"/>
  <c r="D16" i="64"/>
  <c r="E16" i="64"/>
  <c r="F16" i="64"/>
  <c r="D17" i="64"/>
  <c r="E17" i="64"/>
  <c r="F17" i="64"/>
  <c r="D51" i="64"/>
  <c r="E51" i="64"/>
  <c r="F51" i="64"/>
  <c r="D54" i="64"/>
  <c r="E54" i="64"/>
  <c r="F54" i="64"/>
  <c r="D55" i="64"/>
  <c r="E55" i="64"/>
  <c r="F55" i="64"/>
  <c r="D56" i="64"/>
  <c r="E56" i="64"/>
  <c r="F56" i="64"/>
  <c r="D57" i="64"/>
  <c r="E57" i="64"/>
  <c r="F57" i="64"/>
  <c r="D58" i="64"/>
  <c r="E58" i="64"/>
  <c r="F58" i="64"/>
  <c r="D112" i="64"/>
  <c r="E112" i="64"/>
  <c r="F112" i="64"/>
  <c r="D113" i="64"/>
  <c r="E113" i="64"/>
  <c r="F113" i="64"/>
  <c r="D114" i="64"/>
  <c r="E114" i="64"/>
  <c r="F114" i="64"/>
  <c r="D115" i="64"/>
  <c r="E115" i="64"/>
  <c r="F115" i="64"/>
  <c r="D116" i="64"/>
  <c r="E116" i="64"/>
  <c r="F116" i="64"/>
  <c r="D117" i="64"/>
  <c r="E117" i="64"/>
  <c r="F117" i="64"/>
  <c r="D118" i="64"/>
  <c r="E118" i="64"/>
  <c r="F118" i="64"/>
  <c r="D119" i="64"/>
  <c r="E119" i="64"/>
  <c r="F119" i="64"/>
  <c r="D120" i="64"/>
  <c r="E120" i="64"/>
  <c r="F120" i="64"/>
  <c r="D121" i="64"/>
  <c r="E121" i="64"/>
  <c r="F121" i="64"/>
  <c r="D122" i="64"/>
  <c r="E122" i="64"/>
  <c r="F122" i="64"/>
  <c r="D123" i="64"/>
  <c r="E123" i="64"/>
  <c r="F123" i="64"/>
  <c r="D131" i="64"/>
  <c r="E131" i="64"/>
  <c r="F131" i="64"/>
  <c r="D132" i="64"/>
  <c r="E132" i="64"/>
  <c r="F132" i="64"/>
  <c r="D133" i="64"/>
  <c r="E133" i="64"/>
  <c r="F133" i="64"/>
  <c r="D134" i="64"/>
  <c r="E134" i="64"/>
  <c r="F134" i="64"/>
  <c r="D135" i="64"/>
  <c r="E135" i="64"/>
  <c r="F135" i="64"/>
  <c r="D183" i="64"/>
  <c r="E183" i="64"/>
  <c r="F183" i="64"/>
  <c r="D184" i="64"/>
  <c r="E184" i="64"/>
  <c r="F184" i="64"/>
  <c r="D185" i="64"/>
  <c r="E185" i="64"/>
  <c r="F185" i="64"/>
  <c r="D186" i="64"/>
  <c r="E186" i="64"/>
  <c r="F186" i="64"/>
  <c r="D187" i="64"/>
  <c r="E187" i="64"/>
  <c r="F187" i="64"/>
  <c r="D188" i="64"/>
  <c r="E188" i="64"/>
  <c r="F188" i="64"/>
  <c r="D189" i="64"/>
  <c r="E189" i="64"/>
  <c r="F189" i="64"/>
  <c r="D190" i="64"/>
  <c r="E190" i="64"/>
  <c r="F190" i="64"/>
  <c r="D191" i="64"/>
  <c r="E191" i="64"/>
  <c r="F191" i="64"/>
  <c r="D192" i="64"/>
  <c r="E192" i="64"/>
  <c r="F192" i="64"/>
  <c r="D193" i="64"/>
  <c r="E193" i="64"/>
  <c r="F193" i="64"/>
  <c r="D194" i="64"/>
  <c r="E194" i="64"/>
  <c r="F194" i="64"/>
  <c r="D195" i="64"/>
  <c r="E195" i="64"/>
  <c r="F195" i="64"/>
  <c r="D196" i="64"/>
  <c r="E196" i="64"/>
  <c r="F196" i="64"/>
  <c r="D197" i="64"/>
  <c r="E197" i="64"/>
  <c r="F197" i="64"/>
  <c r="D198" i="64"/>
  <c r="E198" i="64"/>
  <c r="F198" i="64"/>
  <c r="D199" i="64"/>
  <c r="E199" i="64"/>
  <c r="F199" i="64"/>
  <c r="D200" i="64"/>
  <c r="E200" i="64"/>
  <c r="F200" i="64"/>
  <c r="D258" i="64"/>
  <c r="E258" i="64"/>
  <c r="F258" i="64"/>
  <c r="D259" i="64"/>
  <c r="E259" i="64"/>
  <c r="F259" i="64"/>
  <c r="D260" i="64"/>
  <c r="E260" i="64"/>
  <c r="F260" i="64"/>
  <c r="D261" i="64"/>
  <c r="E261" i="64"/>
  <c r="F261" i="64"/>
  <c r="D262" i="64"/>
  <c r="E262" i="64"/>
  <c r="F262" i="64"/>
  <c r="D263" i="64"/>
  <c r="E263" i="64"/>
  <c r="F263" i="64"/>
  <c r="D264" i="64"/>
  <c r="E264" i="64"/>
  <c r="F264" i="64"/>
  <c r="D265" i="64"/>
  <c r="E265" i="64"/>
  <c r="F265" i="64"/>
  <c r="D266" i="64"/>
  <c r="E266" i="64"/>
  <c r="F266" i="64"/>
  <c r="D267" i="64"/>
  <c r="E267" i="64"/>
  <c r="F267" i="64"/>
  <c r="D302" i="64"/>
  <c r="E302" i="64"/>
  <c r="F302" i="64"/>
  <c r="D299" i="64"/>
  <c r="E299" i="64"/>
  <c r="F299" i="64"/>
  <c r="D300" i="64"/>
  <c r="E300" i="64"/>
  <c r="F300" i="64"/>
  <c r="C20" i="69" l="1"/>
  <c r="D18" i="69"/>
  <c r="Q2" i="68"/>
  <c r="F19" i="69" s="1"/>
  <c r="F16" i="69"/>
  <c r="E36" i="69"/>
  <c r="E35" i="69"/>
  <c r="O2" i="68"/>
  <c r="N2" i="68"/>
  <c r="F18" i="69"/>
  <c r="D301" i="64"/>
  <c r="D303" i="64"/>
  <c r="D304" i="64"/>
  <c r="D305" i="64"/>
  <c r="D306" i="64"/>
  <c r="D307" i="64"/>
  <c r="D308" i="64"/>
  <c r="D309" i="64"/>
  <c r="D310" i="64"/>
  <c r="D311" i="64"/>
  <c r="D312" i="64"/>
  <c r="D313" i="64"/>
  <c r="D314" i="64"/>
  <c r="D316" i="64"/>
  <c r="D317" i="64"/>
  <c r="D318" i="64"/>
  <c r="D319" i="64"/>
  <c r="D320" i="64"/>
  <c r="D321" i="64"/>
  <c r="D322" i="64"/>
  <c r="D323" i="64"/>
  <c r="D280" i="64"/>
  <c r="D281" i="64"/>
  <c r="D79" i="64"/>
  <c r="D289" i="64"/>
  <c r="D329" i="64"/>
  <c r="D141" i="64"/>
  <c r="D327" i="64"/>
  <c r="D40" i="64"/>
  <c r="D78" i="64"/>
  <c r="D291" i="64"/>
  <c r="D297" i="64"/>
  <c r="D72" i="64"/>
  <c r="D292" i="64"/>
  <c r="D293" i="64"/>
  <c r="D331" i="64"/>
  <c r="D41" i="64"/>
  <c r="D211" i="64"/>
  <c r="D38" i="64"/>
  <c r="D279" i="64"/>
  <c r="D105" i="64"/>
  <c r="D212" i="64"/>
  <c r="D107" i="64"/>
  <c r="D217" i="64"/>
  <c r="D2" i="64"/>
  <c r="D3" i="64"/>
  <c r="D101" i="64"/>
  <c r="D273" i="64"/>
  <c r="D283" i="64"/>
  <c r="D343" i="64"/>
  <c r="D344" i="64"/>
  <c r="D209" i="64"/>
  <c r="D324" i="64"/>
  <c r="D228" i="64"/>
  <c r="D20" i="64"/>
  <c r="D21" i="64"/>
  <c r="D27" i="64"/>
  <c r="D28" i="64"/>
  <c r="D48" i="64"/>
  <c r="D59" i="64"/>
  <c r="D62" i="64"/>
  <c r="D77" i="64"/>
  <c r="D106" i="64"/>
  <c r="D111" i="64"/>
  <c r="D236" i="64"/>
  <c r="D238" i="64"/>
  <c r="D269" i="64"/>
  <c r="D285" i="64"/>
  <c r="D288" i="64"/>
  <c r="D332" i="64"/>
  <c r="D340" i="64"/>
  <c r="D347" i="64"/>
  <c r="D19" i="64"/>
  <c r="D25" i="64"/>
  <c r="D282" i="64"/>
  <c r="D294" i="64"/>
  <c r="D155" i="64"/>
  <c r="D156" i="64"/>
  <c r="D157" i="64"/>
  <c r="D158" i="64"/>
  <c r="D159" i="64"/>
  <c r="D160" i="64"/>
  <c r="D161" i="64"/>
  <c r="D162" i="64"/>
  <c r="D163" i="64"/>
  <c r="D164" i="64"/>
  <c r="D165" i="64"/>
  <c r="D166" i="64"/>
  <c r="D167" i="64"/>
  <c r="D168" i="64"/>
  <c r="D169" i="64"/>
  <c r="D170" i="64"/>
  <c r="D171" i="64"/>
  <c r="D172" i="64"/>
  <c r="D173" i="64"/>
  <c r="D174" i="64"/>
  <c r="D175" i="64"/>
  <c r="D176" i="64"/>
  <c r="D177" i="64"/>
  <c r="D30" i="64"/>
  <c r="D31" i="64"/>
  <c r="D32" i="64"/>
  <c r="D33" i="64"/>
  <c r="D34" i="64"/>
  <c r="D35" i="64"/>
  <c r="D73" i="64"/>
  <c r="D95" i="64"/>
  <c r="D136" i="64"/>
  <c r="D137" i="64"/>
  <c r="D138" i="64"/>
  <c r="D205" i="64"/>
  <c r="D210" i="64"/>
  <c r="D213" i="64"/>
  <c r="D219" i="64"/>
  <c r="D277" i="64"/>
  <c r="D296" i="64"/>
  <c r="D333" i="64"/>
  <c r="D334" i="64"/>
  <c r="D335" i="64"/>
  <c r="D336" i="64"/>
  <c r="D342" i="64"/>
  <c r="D18" i="64"/>
  <c r="D61" i="64"/>
  <c r="D284" i="64"/>
  <c r="D64" i="64"/>
  <c r="D65" i="64"/>
  <c r="D66" i="64"/>
  <c r="D67" i="64"/>
  <c r="D87" i="64"/>
  <c r="D88" i="64"/>
  <c r="D89" i="64"/>
  <c r="D96" i="64"/>
  <c r="D99" i="64"/>
  <c r="D100" i="64"/>
  <c r="D109" i="64"/>
  <c r="D139" i="64"/>
  <c r="D140" i="64"/>
  <c r="D153" i="64"/>
  <c r="D178" i="64"/>
  <c r="D179" i="64"/>
  <c r="D180" i="64"/>
  <c r="D181" i="64"/>
  <c r="D182" i="64"/>
  <c r="D206" i="64"/>
  <c r="D207" i="64"/>
  <c r="D208" i="64"/>
  <c r="D216" i="64"/>
  <c r="D220" i="64"/>
  <c r="D350" i="64"/>
  <c r="D351" i="64"/>
  <c r="D352" i="64"/>
  <c r="D353" i="64"/>
  <c r="D354" i="64"/>
  <c r="D355" i="64"/>
  <c r="D37" i="64"/>
  <c r="D90" i="64"/>
  <c r="D97" i="64"/>
  <c r="D152" i="64"/>
  <c r="D226" i="64"/>
  <c r="D274" i="64"/>
  <c r="D275" i="64"/>
  <c r="D278" i="64"/>
  <c r="D345" i="64"/>
  <c r="D290" i="64"/>
  <c r="D346" i="64"/>
  <c r="D47" i="64"/>
  <c r="D94" i="64"/>
  <c r="D237" i="64"/>
  <c r="D348" i="64"/>
  <c r="D23" i="64"/>
  <c r="D241" i="64"/>
  <c r="D42" i="64"/>
  <c r="D84" i="64"/>
  <c r="D276" i="64"/>
  <c r="D26" i="64"/>
  <c r="D76" i="64"/>
  <c r="D93" i="64"/>
  <c r="D328" i="64"/>
  <c r="D44" i="64"/>
  <c r="D49" i="64"/>
  <c r="D98" i="64"/>
  <c r="D232" i="64"/>
  <c r="D233" i="64"/>
  <c r="D234" i="64"/>
  <c r="D270" i="64"/>
  <c r="D286" i="64"/>
  <c r="D338" i="64"/>
  <c r="D359" i="64"/>
  <c r="D360" i="64"/>
  <c r="D71" i="64"/>
  <c r="D85" i="64"/>
  <c r="D214" i="64"/>
  <c r="D222" i="64"/>
  <c r="D225" i="64"/>
  <c r="D268" i="64"/>
  <c r="D295" i="64"/>
  <c r="D29" i="64"/>
  <c r="D43" i="64"/>
  <c r="D68" i="64"/>
  <c r="D70" i="64"/>
  <c r="D83" i="64"/>
  <c r="D92" i="64"/>
  <c r="D108" i="64"/>
  <c r="D128" i="64"/>
  <c r="D129" i="64"/>
  <c r="D231" i="64"/>
  <c r="D272" i="64"/>
  <c r="D298" i="64"/>
  <c r="D341" i="64"/>
  <c r="D362" i="64"/>
  <c r="D154" i="64"/>
  <c r="D36" i="64"/>
  <c r="D39" i="64"/>
  <c r="D204" i="64"/>
  <c r="D229" i="64"/>
  <c r="D315" i="64"/>
  <c r="D330" i="64"/>
  <c r="D82" i="64"/>
  <c r="D81" i="64"/>
  <c r="D110" i="64"/>
  <c r="D339" i="64"/>
  <c r="D60" i="64"/>
  <c r="D91" i="64"/>
  <c r="D102" i="64"/>
  <c r="D103" i="64"/>
  <c r="D104" i="64"/>
  <c r="D235" i="64"/>
  <c r="D326" i="64"/>
  <c r="D124" i="64"/>
  <c r="D125" i="64"/>
  <c r="D126" i="64"/>
  <c r="D127" i="64"/>
  <c r="D224" i="64"/>
  <c r="D227" i="64"/>
  <c r="D363" i="64"/>
  <c r="D63" i="64"/>
  <c r="D230" i="64"/>
  <c r="D50" i="64"/>
  <c r="D358" i="64"/>
  <c r="D46" i="64"/>
  <c r="D201" i="64"/>
  <c r="D4" i="64"/>
  <c r="M18" i="64"/>
  <c r="M61" i="64"/>
  <c r="M284" i="64"/>
  <c r="M64" i="64"/>
  <c r="M65" i="64"/>
  <c r="M66" i="64"/>
  <c r="M67" i="64"/>
  <c r="M87" i="64"/>
  <c r="M88" i="64"/>
  <c r="M89" i="64"/>
  <c r="M96" i="64"/>
  <c r="M99" i="64"/>
  <c r="M100" i="64"/>
  <c r="M109" i="64"/>
  <c r="M139" i="64"/>
  <c r="M140" i="64"/>
  <c r="M153" i="64"/>
  <c r="M178" i="64"/>
  <c r="M179" i="64"/>
  <c r="M180" i="64"/>
  <c r="M181" i="64"/>
  <c r="M182" i="64"/>
  <c r="M206" i="64"/>
  <c r="M207" i="64"/>
  <c r="M208" i="64"/>
  <c r="M216" i="64"/>
  <c r="M220" i="64"/>
  <c r="M350" i="64"/>
  <c r="M351" i="64"/>
  <c r="M352" i="64"/>
  <c r="M353" i="64"/>
  <c r="M354" i="64"/>
  <c r="M355" i="64"/>
  <c r="M37" i="64"/>
  <c r="M90" i="64"/>
  <c r="M97" i="64"/>
  <c r="M152" i="64"/>
  <c r="M226" i="64"/>
  <c r="M274" i="64"/>
  <c r="M275" i="64"/>
  <c r="M278" i="64"/>
  <c r="M345" i="64"/>
  <c r="M290" i="64"/>
  <c r="M346" i="64"/>
  <c r="M47" i="64"/>
  <c r="M94" i="64"/>
  <c r="M237" i="64"/>
  <c r="M348" i="64"/>
  <c r="M23" i="64"/>
  <c r="M241" i="64"/>
  <c r="M42" i="64"/>
  <c r="M84" i="64"/>
  <c r="M276" i="64"/>
  <c r="M26" i="64"/>
  <c r="M76" i="64"/>
  <c r="M93" i="64"/>
  <c r="M328" i="64"/>
  <c r="M44" i="64"/>
  <c r="M49" i="64"/>
  <c r="M98" i="64"/>
  <c r="M232" i="64"/>
  <c r="M233" i="64"/>
  <c r="M234" i="64"/>
  <c r="M270" i="64"/>
  <c r="M286" i="64"/>
  <c r="M338" i="64"/>
  <c r="M359" i="64"/>
  <c r="M360" i="64"/>
  <c r="M71" i="64"/>
  <c r="M85" i="64"/>
  <c r="M214" i="64"/>
  <c r="M222" i="64"/>
  <c r="M225" i="64"/>
  <c r="M268" i="64"/>
  <c r="M295" i="64"/>
  <c r="M29" i="64"/>
  <c r="M43" i="64"/>
  <c r="M68" i="64"/>
  <c r="M70" i="64"/>
  <c r="M83" i="64"/>
  <c r="M92" i="64"/>
  <c r="M108" i="64"/>
  <c r="M128" i="64"/>
  <c r="M129" i="64"/>
  <c r="M231" i="64"/>
  <c r="M272" i="64"/>
  <c r="M298" i="64"/>
  <c r="M341" i="64"/>
  <c r="M362" i="64"/>
  <c r="M154" i="64"/>
  <c r="M36" i="64"/>
  <c r="M39" i="64"/>
  <c r="M204" i="64"/>
  <c r="M229" i="64"/>
  <c r="M315" i="64"/>
  <c r="M330" i="64"/>
  <c r="M82" i="64"/>
  <c r="M81" i="64"/>
  <c r="M110" i="64"/>
  <c r="M339" i="64"/>
  <c r="M60" i="64"/>
  <c r="M91" i="64"/>
  <c r="M102" i="64"/>
  <c r="M103" i="64"/>
  <c r="M104" i="64"/>
  <c r="M235" i="64"/>
  <c r="M326" i="64"/>
  <c r="M124" i="64"/>
  <c r="M125" i="64"/>
  <c r="M126" i="64"/>
  <c r="M127" i="64"/>
  <c r="M224" i="64"/>
  <c r="M227" i="64"/>
  <c r="M363" i="64"/>
  <c r="M230" i="64"/>
  <c r="M50" i="64"/>
  <c r="M358" i="64"/>
  <c r="M46" i="64"/>
  <c r="M201" i="64"/>
  <c r="M223" i="64"/>
  <c r="M325" i="64"/>
  <c r="M24" i="64"/>
  <c r="M22" i="64"/>
  <c r="M218" i="64"/>
  <c r="M221" i="64"/>
  <c r="M364" i="64"/>
  <c r="M86" i="64"/>
  <c r="M130" i="64"/>
  <c r="M271" i="64"/>
  <c r="M287" i="64"/>
  <c r="M361" i="64"/>
  <c r="M74" i="64"/>
  <c r="M75" i="64"/>
  <c r="M80" i="64"/>
  <c r="M203" i="64"/>
  <c r="M215" i="64"/>
  <c r="M142" i="64"/>
  <c r="M143" i="64"/>
  <c r="M144" i="64"/>
  <c r="M145" i="64"/>
  <c r="M146" i="64"/>
  <c r="M147" i="64"/>
  <c r="M148" i="64"/>
  <c r="M149" i="64"/>
  <c r="M150" i="64"/>
  <c r="M151" i="64"/>
  <c r="M202" i="64"/>
  <c r="M239" i="64"/>
  <c r="M240" i="64"/>
  <c r="M5" i="64"/>
  <c r="M45" i="64"/>
  <c r="M69" i="64"/>
  <c r="M242" i="64"/>
  <c r="M243" i="64"/>
  <c r="M244" i="64"/>
  <c r="M245" i="64"/>
  <c r="M246" i="64"/>
  <c r="M247" i="64"/>
  <c r="M248" i="64"/>
  <c r="M249" i="64"/>
  <c r="M250" i="64"/>
  <c r="M251" i="64"/>
  <c r="M252" i="64"/>
  <c r="M253" i="64"/>
  <c r="M254" i="64"/>
  <c r="M255" i="64"/>
  <c r="M256" i="64"/>
  <c r="M257" i="64"/>
  <c r="M337" i="64"/>
  <c r="M349" i="64"/>
  <c r="M356" i="64"/>
  <c r="M357" i="64"/>
  <c r="M6" i="64"/>
  <c r="M7" i="64"/>
  <c r="M8" i="64"/>
  <c r="M9" i="64"/>
  <c r="M10" i="64"/>
  <c r="M11" i="64"/>
  <c r="M12" i="64"/>
  <c r="M13" i="64"/>
  <c r="M14" i="64"/>
  <c r="M15" i="64"/>
  <c r="M16" i="64"/>
  <c r="M17" i="64"/>
  <c r="M51" i="64"/>
  <c r="M52" i="64"/>
  <c r="M53" i="64"/>
  <c r="M54" i="64"/>
  <c r="M55" i="64"/>
  <c r="M56" i="64"/>
  <c r="M57" i="64"/>
  <c r="M58" i="64"/>
  <c r="M112" i="64"/>
  <c r="M113" i="64"/>
  <c r="M114" i="64"/>
  <c r="M115" i="64"/>
  <c r="M116" i="64"/>
  <c r="M117" i="64"/>
  <c r="M118" i="64"/>
  <c r="M119" i="64"/>
  <c r="M120" i="64"/>
  <c r="M121" i="64"/>
  <c r="M122" i="64"/>
  <c r="M123" i="64"/>
  <c r="M131" i="64"/>
  <c r="M132" i="64"/>
  <c r="M133" i="64"/>
  <c r="M134" i="64"/>
  <c r="M135" i="64"/>
  <c r="M183" i="64"/>
  <c r="M184" i="64"/>
  <c r="M185" i="64"/>
  <c r="M186" i="64"/>
  <c r="M187" i="64"/>
  <c r="M188" i="64"/>
  <c r="M189" i="64"/>
  <c r="M190" i="64"/>
  <c r="M191" i="64"/>
  <c r="M192" i="64"/>
  <c r="M193" i="64"/>
  <c r="M194" i="64"/>
  <c r="M195" i="64"/>
  <c r="M196" i="64"/>
  <c r="M197" i="64"/>
  <c r="M198" i="64"/>
  <c r="M199" i="64"/>
  <c r="M200" i="64"/>
  <c r="M258" i="64"/>
  <c r="M259" i="64"/>
  <c r="M260" i="64"/>
  <c r="M261" i="64"/>
  <c r="M262" i="64"/>
  <c r="M263" i="64"/>
  <c r="M264" i="64"/>
  <c r="M265" i="64"/>
  <c r="M266" i="64"/>
  <c r="M267" i="64"/>
  <c r="M302" i="64"/>
  <c r="M299" i="64"/>
  <c r="M300" i="64"/>
  <c r="M301" i="64"/>
  <c r="M303" i="64"/>
  <c r="M304" i="64"/>
  <c r="M305" i="64"/>
  <c r="M306" i="64"/>
  <c r="M307" i="64"/>
  <c r="M308" i="64"/>
  <c r="M309" i="64"/>
  <c r="M310" i="64"/>
  <c r="M311" i="64"/>
  <c r="M312" i="64"/>
  <c r="M313" i="64"/>
  <c r="M314" i="64"/>
  <c r="M316" i="64"/>
  <c r="M317" i="64"/>
  <c r="M318" i="64"/>
  <c r="M319" i="64"/>
  <c r="M320" i="64"/>
  <c r="M321" i="64"/>
  <c r="M322" i="64"/>
  <c r="M323" i="64"/>
  <c r="M280" i="64"/>
  <c r="M281" i="64"/>
  <c r="M79" i="64"/>
  <c r="M289" i="64"/>
  <c r="M329" i="64"/>
  <c r="M141" i="64"/>
  <c r="M327" i="64"/>
  <c r="M40" i="64"/>
  <c r="M78" i="64"/>
  <c r="M291" i="64"/>
  <c r="M297" i="64"/>
  <c r="M72" i="64"/>
  <c r="M292" i="64"/>
  <c r="M293" i="64"/>
  <c r="M331" i="64"/>
  <c r="M41" i="64"/>
  <c r="M211" i="64"/>
  <c r="M38" i="64"/>
  <c r="M279" i="64"/>
  <c r="M105" i="64"/>
  <c r="M212" i="64"/>
  <c r="M107" i="64"/>
  <c r="M217" i="64"/>
  <c r="M2" i="64"/>
  <c r="M3" i="64"/>
  <c r="M101" i="64"/>
  <c r="M273" i="64"/>
  <c r="M283" i="64"/>
  <c r="M343" i="64"/>
  <c r="M344" i="64"/>
  <c r="M209" i="64"/>
  <c r="M324" i="64"/>
  <c r="M228" i="64"/>
  <c r="M20" i="64"/>
  <c r="M21" i="64"/>
  <c r="M27" i="64"/>
  <c r="M28" i="64"/>
  <c r="M48" i="64"/>
  <c r="M59" i="64"/>
  <c r="M62" i="64"/>
  <c r="M77" i="64"/>
  <c r="M106" i="64"/>
  <c r="M111" i="64"/>
  <c r="M236" i="64"/>
  <c r="M238" i="64"/>
  <c r="M269" i="64"/>
  <c r="M285" i="64"/>
  <c r="M288" i="64"/>
  <c r="M332" i="64"/>
  <c r="M340" i="64"/>
  <c r="M347" i="64"/>
  <c r="M19" i="64"/>
  <c r="M25" i="64"/>
  <c r="M282" i="64"/>
  <c r="M294" i="64"/>
  <c r="M155" i="64"/>
  <c r="M156" i="64"/>
  <c r="M157" i="64"/>
  <c r="M158" i="64"/>
  <c r="M159" i="64"/>
  <c r="M160" i="64"/>
  <c r="M161" i="64"/>
  <c r="M162" i="64"/>
  <c r="M163" i="64"/>
  <c r="M164" i="64"/>
  <c r="M165" i="64"/>
  <c r="M166" i="64"/>
  <c r="M167" i="64"/>
  <c r="M168" i="64"/>
  <c r="M169" i="64"/>
  <c r="M170" i="64"/>
  <c r="M171" i="64"/>
  <c r="M172" i="64"/>
  <c r="M173" i="64"/>
  <c r="M174" i="64"/>
  <c r="M175" i="64"/>
  <c r="M176" i="64"/>
  <c r="M177" i="64"/>
  <c r="M30" i="64"/>
  <c r="M31" i="64"/>
  <c r="M32" i="64"/>
  <c r="M33" i="64"/>
  <c r="M34" i="64"/>
  <c r="M35" i="64"/>
  <c r="M73" i="64"/>
  <c r="M95" i="64"/>
  <c r="M136" i="64"/>
  <c r="M137" i="64"/>
  <c r="M138" i="64"/>
  <c r="M205" i="64"/>
  <c r="M210" i="64"/>
  <c r="M213" i="64"/>
  <c r="M219" i="64"/>
  <c r="M277" i="64"/>
  <c r="M296" i="64"/>
  <c r="M333" i="64"/>
  <c r="M334" i="64"/>
  <c r="M335" i="64"/>
  <c r="M336" i="64"/>
  <c r="M342" i="64"/>
  <c r="M4" i="64"/>
  <c r="K53" i="64"/>
  <c r="E4" i="64"/>
  <c r="K57" i="64"/>
  <c r="K114" i="64"/>
  <c r="K118" i="64"/>
  <c r="K122" i="64"/>
  <c r="K133" i="64"/>
  <c r="K184" i="64"/>
  <c r="K188" i="64"/>
  <c r="K192" i="64"/>
  <c r="K196" i="64"/>
  <c r="K200" i="64"/>
  <c r="K261" i="64"/>
  <c r="K265" i="64"/>
  <c r="K299" i="64"/>
  <c r="E301" i="64"/>
  <c r="E303" i="64"/>
  <c r="E304" i="64"/>
  <c r="K304" i="64" s="1"/>
  <c r="E305" i="64"/>
  <c r="E306" i="64"/>
  <c r="E307" i="64"/>
  <c r="E308" i="64"/>
  <c r="K308" i="64" s="1"/>
  <c r="E309" i="64"/>
  <c r="E310" i="64"/>
  <c r="E311" i="64"/>
  <c r="E312" i="64"/>
  <c r="K312" i="64" s="1"/>
  <c r="E313" i="64"/>
  <c r="E314" i="64"/>
  <c r="E316" i="64"/>
  <c r="E317" i="64"/>
  <c r="K317" i="64" s="1"/>
  <c r="E318" i="64"/>
  <c r="E319" i="64"/>
  <c r="E320" i="64"/>
  <c r="E321" i="64"/>
  <c r="K321" i="64" s="1"/>
  <c r="E322" i="64"/>
  <c r="E323" i="64"/>
  <c r="E280" i="64"/>
  <c r="E281" i="64"/>
  <c r="K281" i="64" s="1"/>
  <c r="E79" i="64"/>
  <c r="J79" i="64" s="1"/>
  <c r="E289" i="64"/>
  <c r="J289" i="64" s="1"/>
  <c r="E329" i="64"/>
  <c r="J329" i="64" s="1"/>
  <c r="E141" i="64"/>
  <c r="E327" i="64"/>
  <c r="J327" i="64" s="1"/>
  <c r="E40" i="64"/>
  <c r="J40" i="64" s="1"/>
  <c r="E78" i="64"/>
  <c r="J78" i="64" s="1"/>
  <c r="E291" i="64"/>
  <c r="E297" i="64"/>
  <c r="J297" i="64" s="1"/>
  <c r="E72" i="64"/>
  <c r="J72" i="64" s="1"/>
  <c r="E292" i="64"/>
  <c r="J292" i="64" s="1"/>
  <c r="E293" i="64"/>
  <c r="E331" i="64"/>
  <c r="J331" i="64" s="1"/>
  <c r="E41" i="64"/>
  <c r="J41" i="64" s="1"/>
  <c r="E211" i="64"/>
  <c r="K211" i="64" s="1"/>
  <c r="E38" i="64"/>
  <c r="E279" i="64"/>
  <c r="J279" i="64" s="1"/>
  <c r="E105" i="64"/>
  <c r="J105" i="64" s="1"/>
  <c r="E212" i="64"/>
  <c r="E107" i="64"/>
  <c r="E217" i="64"/>
  <c r="E2" i="64"/>
  <c r="J2" i="64" s="1"/>
  <c r="E3" i="64"/>
  <c r="E101" i="64"/>
  <c r="E273" i="64"/>
  <c r="J273" i="64" s="1"/>
  <c r="E283" i="64"/>
  <c r="J283" i="64" s="1"/>
  <c r="E343" i="64"/>
  <c r="E344" i="64"/>
  <c r="E209" i="64"/>
  <c r="E324" i="64"/>
  <c r="J324" i="64" s="1"/>
  <c r="E228" i="64"/>
  <c r="E20" i="64"/>
  <c r="E21" i="64"/>
  <c r="J21" i="64" s="1"/>
  <c r="E27" i="64"/>
  <c r="J27" i="64" s="1"/>
  <c r="E28" i="64"/>
  <c r="E48" i="64"/>
  <c r="E59" i="64"/>
  <c r="J59" i="64" s="1"/>
  <c r="E62" i="64"/>
  <c r="J62" i="64" s="1"/>
  <c r="E77" i="64"/>
  <c r="E106" i="64"/>
  <c r="E111" i="64"/>
  <c r="J111" i="64" s="1"/>
  <c r="E236" i="64"/>
  <c r="J236" i="64" s="1"/>
  <c r="E238" i="64"/>
  <c r="E269" i="64"/>
  <c r="E285" i="64"/>
  <c r="J285" i="64" s="1"/>
  <c r="E288" i="64"/>
  <c r="J288" i="64" s="1"/>
  <c r="E332" i="64"/>
  <c r="E340" i="64"/>
  <c r="E347" i="64"/>
  <c r="J347" i="64" s="1"/>
  <c r="E19" i="64"/>
  <c r="J19" i="64" s="1"/>
  <c r="E25" i="64"/>
  <c r="E282" i="64"/>
  <c r="E294" i="64"/>
  <c r="J294" i="64" s="1"/>
  <c r="E155" i="64"/>
  <c r="J155" i="64" s="1"/>
  <c r="E156" i="64"/>
  <c r="E157" i="64"/>
  <c r="E158" i="64"/>
  <c r="J158" i="64" s="1"/>
  <c r="E159" i="64"/>
  <c r="J159" i="64" s="1"/>
  <c r="E160" i="64"/>
  <c r="E161" i="64"/>
  <c r="E162" i="64"/>
  <c r="J162" i="64" s="1"/>
  <c r="E163" i="64"/>
  <c r="J163" i="64" s="1"/>
  <c r="E164" i="64"/>
  <c r="E165" i="64"/>
  <c r="E166" i="64"/>
  <c r="J166" i="64" s="1"/>
  <c r="E167" i="64"/>
  <c r="J167" i="64" s="1"/>
  <c r="E168" i="64"/>
  <c r="E169" i="64"/>
  <c r="E170" i="64"/>
  <c r="J170" i="64" s="1"/>
  <c r="E171" i="64"/>
  <c r="E172" i="64"/>
  <c r="E173" i="64"/>
  <c r="E174" i="64"/>
  <c r="J174" i="64" s="1"/>
  <c r="E175" i="64"/>
  <c r="E176" i="64"/>
  <c r="E177" i="64"/>
  <c r="E30" i="64"/>
  <c r="E31" i="64"/>
  <c r="E32" i="64"/>
  <c r="E33" i="64"/>
  <c r="E34" i="64"/>
  <c r="E35" i="64"/>
  <c r="E73" i="64"/>
  <c r="E95" i="64"/>
  <c r="E136" i="64"/>
  <c r="E137" i="64"/>
  <c r="E138" i="64"/>
  <c r="E205" i="64"/>
  <c r="E210" i="64"/>
  <c r="E213" i="64"/>
  <c r="E219" i="64"/>
  <c r="E277" i="64"/>
  <c r="E296" i="64"/>
  <c r="E333" i="64"/>
  <c r="E334" i="64"/>
  <c r="E335" i="64"/>
  <c r="E336" i="64"/>
  <c r="E342" i="64"/>
  <c r="E18" i="64"/>
  <c r="E61" i="64"/>
  <c r="J61" i="64" s="1"/>
  <c r="K61" i="64" s="1"/>
  <c r="E284" i="64"/>
  <c r="E64" i="64"/>
  <c r="J64" i="64" s="1"/>
  <c r="E65" i="64"/>
  <c r="J65" i="64" s="1"/>
  <c r="E66" i="64"/>
  <c r="J66" i="64" s="1"/>
  <c r="K66" i="64" s="1"/>
  <c r="E67" i="64"/>
  <c r="J67" i="64" s="1"/>
  <c r="E87" i="64"/>
  <c r="J87" i="64" s="1"/>
  <c r="E88" i="64"/>
  <c r="E89" i="64"/>
  <c r="J89" i="64" s="1"/>
  <c r="K89" i="64" s="1"/>
  <c r="E96" i="64"/>
  <c r="J96" i="64" s="1"/>
  <c r="E99" i="64"/>
  <c r="J99" i="64" s="1"/>
  <c r="E100" i="64"/>
  <c r="E109" i="64"/>
  <c r="J109" i="64" s="1"/>
  <c r="E139" i="64"/>
  <c r="E140" i="64"/>
  <c r="J140" i="64" s="1"/>
  <c r="E153" i="64"/>
  <c r="E178" i="64"/>
  <c r="J178" i="64" s="1"/>
  <c r="K178" i="64" s="1"/>
  <c r="E179" i="64"/>
  <c r="E180" i="64"/>
  <c r="J180" i="64" s="1"/>
  <c r="E181" i="64"/>
  <c r="J181" i="64" s="1"/>
  <c r="E182" i="64"/>
  <c r="J182" i="64" s="1"/>
  <c r="K182" i="64" s="1"/>
  <c r="E206" i="64"/>
  <c r="E207" i="64"/>
  <c r="J207" i="64" s="1"/>
  <c r="E208" i="64"/>
  <c r="E216" i="64"/>
  <c r="J216" i="64" s="1"/>
  <c r="K216" i="64" s="1"/>
  <c r="E220" i="64"/>
  <c r="E350" i="64"/>
  <c r="J350" i="64" s="1"/>
  <c r="E351" i="64"/>
  <c r="E352" i="64"/>
  <c r="J352" i="64" s="1"/>
  <c r="K352" i="64" s="1"/>
  <c r="E353" i="64"/>
  <c r="E354" i="64"/>
  <c r="J354" i="64" s="1"/>
  <c r="E355" i="64"/>
  <c r="E37" i="64"/>
  <c r="J37" i="64" s="1"/>
  <c r="K37" i="64" s="1"/>
  <c r="E90" i="64"/>
  <c r="E97" i="64"/>
  <c r="J97" i="64" s="1"/>
  <c r="E152" i="64"/>
  <c r="J152" i="64" s="1"/>
  <c r="E226" i="64"/>
  <c r="J226" i="64" s="1"/>
  <c r="K226" i="64" s="1"/>
  <c r="E274" i="64"/>
  <c r="E275" i="64"/>
  <c r="J275" i="64" s="1"/>
  <c r="E278" i="64"/>
  <c r="E345" i="64"/>
  <c r="J345" i="64" s="1"/>
  <c r="E290" i="64"/>
  <c r="E346" i="64"/>
  <c r="J346" i="64" s="1"/>
  <c r="E47" i="64"/>
  <c r="E94" i="64"/>
  <c r="J94" i="64" s="1"/>
  <c r="K94" i="64" s="1"/>
  <c r="E237" i="64"/>
  <c r="E348" i="64"/>
  <c r="J348" i="64" s="1"/>
  <c r="E23" i="64"/>
  <c r="E241" i="64"/>
  <c r="J241" i="64" s="1"/>
  <c r="E42" i="64"/>
  <c r="E84" i="64"/>
  <c r="J84" i="64" s="1"/>
  <c r="K84" i="64" s="1"/>
  <c r="E276" i="64"/>
  <c r="J276" i="64" s="1"/>
  <c r="E26" i="64"/>
  <c r="J26" i="64" s="1"/>
  <c r="K26" i="64" s="1"/>
  <c r="E76" i="64"/>
  <c r="E93" i="64"/>
  <c r="J93" i="64" s="1"/>
  <c r="E328" i="64"/>
  <c r="E44" i="64"/>
  <c r="J44" i="64" s="1"/>
  <c r="K44" i="64" s="1"/>
  <c r="E49" i="64"/>
  <c r="E98" i="64"/>
  <c r="J98" i="64" s="1"/>
  <c r="E232" i="64"/>
  <c r="E233" i="64"/>
  <c r="J233" i="64" s="1"/>
  <c r="K233" i="64" s="1"/>
  <c r="E234" i="64"/>
  <c r="E270" i="64"/>
  <c r="J270" i="64" s="1"/>
  <c r="K270" i="64" s="1"/>
  <c r="E286" i="64"/>
  <c r="E338" i="64"/>
  <c r="J338" i="64" s="1"/>
  <c r="K338" i="64" s="1"/>
  <c r="E359" i="64"/>
  <c r="E360" i="64"/>
  <c r="J360" i="64" s="1"/>
  <c r="E71" i="64"/>
  <c r="J71" i="64" s="1"/>
  <c r="E85" i="64"/>
  <c r="J85" i="64" s="1"/>
  <c r="E214" i="64"/>
  <c r="E222" i="64"/>
  <c r="J222" i="64" s="1"/>
  <c r="K222" i="64" s="1"/>
  <c r="E225" i="64"/>
  <c r="E268" i="64"/>
  <c r="J268" i="64" s="1"/>
  <c r="K268" i="64" s="1"/>
  <c r="E295" i="64"/>
  <c r="E29" i="64"/>
  <c r="J29" i="64" s="1"/>
  <c r="K29" i="64" s="1"/>
  <c r="E43" i="64"/>
  <c r="E68" i="64"/>
  <c r="J68" i="64" s="1"/>
  <c r="E70" i="64"/>
  <c r="E83" i="64"/>
  <c r="J83" i="64" s="1"/>
  <c r="K83" i="64" s="1"/>
  <c r="E92" i="64"/>
  <c r="E108" i="64"/>
  <c r="J108" i="64" s="1"/>
  <c r="K108" i="64" s="1"/>
  <c r="E128" i="64"/>
  <c r="E129" i="64"/>
  <c r="J129" i="64" s="1"/>
  <c r="K129" i="64" s="1"/>
  <c r="E231" i="64"/>
  <c r="J231" i="64" s="1"/>
  <c r="E272" i="64"/>
  <c r="J272" i="64" s="1"/>
  <c r="K272" i="64" s="1"/>
  <c r="E298" i="64"/>
  <c r="E341" i="64"/>
  <c r="J341" i="64" s="1"/>
  <c r="K341" i="64" s="1"/>
  <c r="E362" i="64"/>
  <c r="E154" i="64"/>
  <c r="J154" i="64" s="1"/>
  <c r="K154" i="64" s="1"/>
  <c r="E36" i="64"/>
  <c r="E39" i="64"/>
  <c r="J39" i="64" s="1"/>
  <c r="K39" i="64" s="1"/>
  <c r="E204" i="64"/>
  <c r="E229" i="64"/>
  <c r="J229" i="64" s="1"/>
  <c r="K229" i="64" s="1"/>
  <c r="E315" i="64"/>
  <c r="E330" i="64"/>
  <c r="J330" i="64" s="1"/>
  <c r="K330" i="64" s="1"/>
  <c r="E82" i="64"/>
  <c r="E81" i="64"/>
  <c r="J81" i="64" s="1"/>
  <c r="K81" i="64" s="1"/>
  <c r="E110" i="64"/>
  <c r="E339" i="64"/>
  <c r="J339" i="64" s="1"/>
  <c r="E60" i="64"/>
  <c r="J60" i="64" s="1"/>
  <c r="E91" i="64"/>
  <c r="J91" i="64" s="1"/>
  <c r="K91" i="64" s="1"/>
  <c r="E102" i="64"/>
  <c r="E103" i="64"/>
  <c r="J103" i="64" s="1"/>
  <c r="E104" i="64"/>
  <c r="E235" i="64"/>
  <c r="J235" i="64" s="1"/>
  <c r="E326" i="64"/>
  <c r="E124" i="64"/>
  <c r="J124" i="64" s="1"/>
  <c r="K124" i="64" s="1"/>
  <c r="E125" i="64"/>
  <c r="E126" i="64"/>
  <c r="J126" i="64" s="1"/>
  <c r="K126" i="64" s="1"/>
  <c r="E127" i="64"/>
  <c r="E224" i="64"/>
  <c r="J224" i="64" s="1"/>
  <c r="K224" i="64" s="1"/>
  <c r="E227" i="64"/>
  <c r="E363" i="64"/>
  <c r="J363" i="64" s="1"/>
  <c r="E63" i="64"/>
  <c r="E230" i="64"/>
  <c r="E50" i="64"/>
  <c r="E358" i="64"/>
  <c r="J358" i="64" s="1"/>
  <c r="K358" i="64" s="1"/>
  <c r="E46" i="64"/>
  <c r="E201" i="64"/>
  <c r="J201" i="64" s="1"/>
  <c r="K201" i="64" s="1"/>
  <c r="K24" i="64"/>
  <c r="K218" i="64"/>
  <c r="K364" i="64"/>
  <c r="K130" i="64"/>
  <c r="K287" i="64"/>
  <c r="K74" i="64"/>
  <c r="K80" i="64"/>
  <c r="K143" i="64"/>
  <c r="K145" i="64"/>
  <c r="K147" i="64"/>
  <c r="K149" i="64"/>
  <c r="K151" i="64"/>
  <c r="K239" i="64"/>
  <c r="K5" i="64"/>
  <c r="K243" i="64"/>
  <c r="K245" i="64"/>
  <c r="K247" i="64"/>
  <c r="K249" i="64"/>
  <c r="K251" i="64"/>
  <c r="K253" i="64"/>
  <c r="K255" i="64"/>
  <c r="K349" i="64"/>
  <c r="K357" i="64"/>
  <c r="K7" i="64"/>
  <c r="K9" i="64"/>
  <c r="K11" i="64"/>
  <c r="K13" i="64"/>
  <c r="K15" i="64"/>
  <c r="F18" i="64"/>
  <c r="F61" i="64"/>
  <c r="F284" i="64"/>
  <c r="F64" i="64"/>
  <c r="F65" i="64"/>
  <c r="F66" i="64"/>
  <c r="F67" i="64"/>
  <c r="F87" i="64"/>
  <c r="F88" i="64"/>
  <c r="F89" i="64"/>
  <c r="F96" i="64"/>
  <c r="F99" i="64"/>
  <c r="F100" i="64"/>
  <c r="F109" i="64"/>
  <c r="F139" i="64"/>
  <c r="F140" i="64"/>
  <c r="F153" i="64"/>
  <c r="F178" i="64"/>
  <c r="F179" i="64"/>
  <c r="F180" i="64"/>
  <c r="F181" i="64"/>
  <c r="F182" i="64"/>
  <c r="F206" i="64"/>
  <c r="F207" i="64"/>
  <c r="F208" i="64"/>
  <c r="F216" i="64"/>
  <c r="F220" i="64"/>
  <c r="F350" i="64"/>
  <c r="F351" i="64"/>
  <c r="F352" i="64"/>
  <c r="F353" i="64"/>
  <c r="F354" i="64"/>
  <c r="F355" i="64"/>
  <c r="F37" i="64"/>
  <c r="F90" i="64"/>
  <c r="F97" i="64"/>
  <c r="F152" i="64"/>
  <c r="F226" i="64"/>
  <c r="F274" i="64"/>
  <c r="F275" i="64"/>
  <c r="F278" i="64"/>
  <c r="F345" i="64"/>
  <c r="F290" i="64"/>
  <c r="F346" i="64"/>
  <c r="F47" i="64"/>
  <c r="F94" i="64"/>
  <c r="F237" i="64"/>
  <c r="F348" i="64"/>
  <c r="F23" i="64"/>
  <c r="F241" i="64"/>
  <c r="F42" i="64"/>
  <c r="F84" i="64"/>
  <c r="F276" i="64"/>
  <c r="F26" i="64"/>
  <c r="F76" i="64"/>
  <c r="F93" i="64"/>
  <c r="F328" i="64"/>
  <c r="F44" i="64"/>
  <c r="F49" i="64"/>
  <c r="F98" i="64"/>
  <c r="F232" i="64"/>
  <c r="F233" i="64"/>
  <c r="F234" i="64"/>
  <c r="F270" i="64"/>
  <c r="F286" i="64"/>
  <c r="F338" i="64"/>
  <c r="F359" i="64"/>
  <c r="F360" i="64"/>
  <c r="F71" i="64"/>
  <c r="F85" i="64"/>
  <c r="F214" i="64"/>
  <c r="F222" i="64"/>
  <c r="F225" i="64"/>
  <c r="F268" i="64"/>
  <c r="F295" i="64"/>
  <c r="F29" i="64"/>
  <c r="F43" i="64"/>
  <c r="F68" i="64"/>
  <c r="F70" i="64"/>
  <c r="F83" i="64"/>
  <c r="F92" i="64"/>
  <c r="F108" i="64"/>
  <c r="F128" i="64"/>
  <c r="F129" i="64"/>
  <c r="F231" i="64"/>
  <c r="F272" i="64"/>
  <c r="F298" i="64"/>
  <c r="F341" i="64"/>
  <c r="F362" i="64"/>
  <c r="F154" i="64"/>
  <c r="F36" i="64"/>
  <c r="F39" i="64"/>
  <c r="F204" i="64"/>
  <c r="F229" i="64"/>
  <c r="F315" i="64"/>
  <c r="F330" i="64"/>
  <c r="F82" i="64"/>
  <c r="F81" i="64"/>
  <c r="F110" i="64"/>
  <c r="F339" i="64"/>
  <c r="F60" i="64"/>
  <c r="F91" i="64"/>
  <c r="F102" i="64"/>
  <c r="F103" i="64"/>
  <c r="F104" i="64"/>
  <c r="F235" i="64"/>
  <c r="F326" i="64"/>
  <c r="F124" i="64"/>
  <c r="F125" i="64"/>
  <c r="F126" i="64"/>
  <c r="F127" i="64"/>
  <c r="F224" i="64"/>
  <c r="F227" i="64"/>
  <c r="F363" i="64"/>
  <c r="F63" i="64"/>
  <c r="F230" i="64"/>
  <c r="F50" i="64"/>
  <c r="F358" i="64"/>
  <c r="F46" i="64"/>
  <c r="F201" i="64"/>
  <c r="F301" i="64"/>
  <c r="F303" i="64"/>
  <c r="F304" i="64"/>
  <c r="F305" i="64"/>
  <c r="F306" i="64"/>
  <c r="F307" i="64"/>
  <c r="F308" i="64"/>
  <c r="F309" i="64"/>
  <c r="F310" i="64"/>
  <c r="F311" i="64"/>
  <c r="F312" i="64"/>
  <c r="F313" i="64"/>
  <c r="F314" i="64"/>
  <c r="F316" i="64"/>
  <c r="F317" i="64"/>
  <c r="F318" i="64"/>
  <c r="F319" i="64"/>
  <c r="F320" i="64"/>
  <c r="F321" i="64"/>
  <c r="F322" i="64"/>
  <c r="F323" i="64"/>
  <c r="F280" i="64"/>
  <c r="F281" i="64"/>
  <c r="F79" i="64"/>
  <c r="F289" i="64"/>
  <c r="F329" i="64"/>
  <c r="F141" i="64"/>
  <c r="F327" i="64"/>
  <c r="F40" i="64"/>
  <c r="F78" i="64"/>
  <c r="F291" i="64"/>
  <c r="F297" i="64"/>
  <c r="F72" i="64"/>
  <c r="F292" i="64"/>
  <c r="F293" i="64"/>
  <c r="F331" i="64"/>
  <c r="F41" i="64"/>
  <c r="F211" i="64"/>
  <c r="F38" i="64"/>
  <c r="F279" i="64"/>
  <c r="F105" i="64"/>
  <c r="F212" i="64"/>
  <c r="F107" i="64"/>
  <c r="F217" i="64"/>
  <c r="F2" i="64"/>
  <c r="F3" i="64"/>
  <c r="F101" i="64"/>
  <c r="F273" i="64"/>
  <c r="F283" i="64"/>
  <c r="F343" i="64"/>
  <c r="F344" i="64"/>
  <c r="F209" i="64"/>
  <c r="F324" i="64"/>
  <c r="F228" i="64"/>
  <c r="F20" i="64"/>
  <c r="F21" i="64"/>
  <c r="F27" i="64"/>
  <c r="F28" i="64"/>
  <c r="F48" i="64"/>
  <c r="F59" i="64"/>
  <c r="F62" i="64"/>
  <c r="F77" i="64"/>
  <c r="F106" i="64"/>
  <c r="F111" i="64"/>
  <c r="F236" i="64"/>
  <c r="F238" i="64"/>
  <c r="F269" i="64"/>
  <c r="F285" i="64"/>
  <c r="F288" i="64"/>
  <c r="F332" i="64"/>
  <c r="F340" i="64"/>
  <c r="F347" i="64"/>
  <c r="F19" i="64"/>
  <c r="F25" i="64"/>
  <c r="F282" i="64"/>
  <c r="F294" i="64"/>
  <c r="F155" i="64"/>
  <c r="F156" i="64"/>
  <c r="F157" i="64"/>
  <c r="F158" i="64"/>
  <c r="F159" i="64"/>
  <c r="F160" i="64"/>
  <c r="F161" i="64"/>
  <c r="F162" i="64"/>
  <c r="F163" i="64"/>
  <c r="F164" i="64"/>
  <c r="F165" i="64"/>
  <c r="F166" i="64"/>
  <c r="F167" i="64"/>
  <c r="F168" i="64"/>
  <c r="F169" i="64"/>
  <c r="F170" i="64"/>
  <c r="F171" i="64"/>
  <c r="F172" i="64"/>
  <c r="F173" i="64"/>
  <c r="F174" i="64"/>
  <c r="F175" i="64"/>
  <c r="F176" i="64"/>
  <c r="F177" i="64"/>
  <c r="F30" i="64"/>
  <c r="F31" i="64"/>
  <c r="F32" i="64"/>
  <c r="F33" i="64"/>
  <c r="F34" i="64"/>
  <c r="F35" i="64"/>
  <c r="F73" i="64"/>
  <c r="F95" i="64"/>
  <c r="F136" i="64"/>
  <c r="F137" i="64"/>
  <c r="F138" i="64"/>
  <c r="F205" i="64"/>
  <c r="F210" i="64"/>
  <c r="F213" i="64"/>
  <c r="F219" i="64"/>
  <c r="F277" i="64"/>
  <c r="F296" i="64"/>
  <c r="F333" i="64"/>
  <c r="F334" i="64"/>
  <c r="F335" i="64"/>
  <c r="F336" i="64"/>
  <c r="F342" i="64"/>
  <c r="F4" i="64"/>
  <c r="O5" i="48"/>
  <c r="O6" i="48"/>
  <c r="O7" i="48"/>
  <c r="O8" i="48"/>
  <c r="O9" i="48"/>
  <c r="O10" i="48"/>
  <c r="O11" i="48"/>
  <c r="O12" i="48"/>
  <c r="O13" i="48"/>
  <c r="O14" i="48"/>
  <c r="O15" i="48"/>
  <c r="O16" i="48"/>
  <c r="O17" i="48"/>
  <c r="O18" i="48"/>
  <c r="O19" i="48"/>
  <c r="O20" i="48"/>
  <c r="O21" i="48"/>
  <c r="O22" i="48"/>
  <c r="O23" i="48"/>
  <c r="O24" i="48"/>
  <c r="O25" i="48"/>
  <c r="O26" i="48"/>
  <c r="O27" i="48"/>
  <c r="O28" i="48"/>
  <c r="O29" i="48"/>
  <c r="O30" i="48"/>
  <c r="O31" i="48"/>
  <c r="O32" i="48"/>
  <c r="O33" i="48"/>
  <c r="O34" i="48"/>
  <c r="O35" i="48"/>
  <c r="O36" i="48"/>
  <c r="O37" i="48"/>
  <c r="O38" i="48"/>
  <c r="O39" i="48"/>
  <c r="O40" i="48"/>
  <c r="O41" i="48"/>
  <c r="O42" i="48"/>
  <c r="O43" i="48"/>
  <c r="O44" i="48"/>
  <c r="O45" i="48"/>
  <c r="O46" i="48"/>
  <c r="O47" i="48"/>
  <c r="O48" i="48"/>
  <c r="O49" i="48"/>
  <c r="O50" i="48"/>
  <c r="O51" i="48"/>
  <c r="O52" i="48"/>
  <c r="O53" i="48"/>
  <c r="M5" i="48"/>
  <c r="M6" i="48"/>
  <c r="M7" i="48"/>
  <c r="M8" i="48"/>
  <c r="M9" i="48"/>
  <c r="M10" i="48"/>
  <c r="M11" i="48"/>
  <c r="M12" i="48"/>
  <c r="M13" i="48"/>
  <c r="M14" i="48"/>
  <c r="M15" i="48"/>
  <c r="M16" i="48"/>
  <c r="M17" i="48"/>
  <c r="M18" i="48"/>
  <c r="M19" i="48"/>
  <c r="M20" i="48"/>
  <c r="M21" i="48"/>
  <c r="M22" i="48"/>
  <c r="M23" i="48"/>
  <c r="M24" i="48"/>
  <c r="M25" i="48"/>
  <c r="M26" i="48"/>
  <c r="M27" i="48"/>
  <c r="M28" i="48"/>
  <c r="M29" i="48"/>
  <c r="M30" i="48"/>
  <c r="M31" i="48"/>
  <c r="M32" i="48"/>
  <c r="M33" i="48"/>
  <c r="M34" i="48"/>
  <c r="M35" i="48"/>
  <c r="M36" i="48"/>
  <c r="M37" i="48"/>
  <c r="M38" i="48"/>
  <c r="M39" i="48"/>
  <c r="M40" i="48"/>
  <c r="M41" i="48"/>
  <c r="M42" i="48"/>
  <c r="M43" i="48"/>
  <c r="M44" i="48"/>
  <c r="M45" i="48"/>
  <c r="M46" i="48"/>
  <c r="M47" i="48"/>
  <c r="M48" i="48"/>
  <c r="M49" i="48"/>
  <c r="M50" i="48"/>
  <c r="M51" i="48"/>
  <c r="M52" i="48"/>
  <c r="M53" i="48"/>
  <c r="M4" i="48"/>
  <c r="N5" i="48"/>
  <c r="N6" i="48"/>
  <c r="N7" i="48"/>
  <c r="N8" i="48"/>
  <c r="N9" i="48"/>
  <c r="N10" i="48"/>
  <c r="N11" i="48"/>
  <c r="N12" i="48"/>
  <c r="N13" i="48"/>
  <c r="N14" i="48"/>
  <c r="N15" i="48"/>
  <c r="N16" i="48"/>
  <c r="N17" i="48"/>
  <c r="N18" i="48"/>
  <c r="N19" i="48"/>
  <c r="N20" i="48"/>
  <c r="N21" i="48"/>
  <c r="N22" i="48"/>
  <c r="N23" i="48"/>
  <c r="N24" i="48"/>
  <c r="N25" i="48"/>
  <c r="N26" i="48"/>
  <c r="N27" i="48"/>
  <c r="N28" i="48"/>
  <c r="N29" i="48"/>
  <c r="N30" i="48"/>
  <c r="N31" i="48"/>
  <c r="N32" i="48"/>
  <c r="N33" i="48"/>
  <c r="N34" i="48"/>
  <c r="N35" i="48"/>
  <c r="N36" i="48"/>
  <c r="N37" i="48"/>
  <c r="N38" i="48"/>
  <c r="N39" i="48"/>
  <c r="N40" i="48"/>
  <c r="N41" i="48"/>
  <c r="N42" i="48"/>
  <c r="N43" i="48"/>
  <c r="N44" i="48"/>
  <c r="N45" i="48"/>
  <c r="N46" i="48"/>
  <c r="N47" i="48"/>
  <c r="N48" i="48"/>
  <c r="N49" i="48"/>
  <c r="N50" i="48"/>
  <c r="N51" i="48"/>
  <c r="N52" i="48"/>
  <c r="N53" i="48"/>
  <c r="L6" i="48"/>
  <c r="L7" i="48"/>
  <c r="L8" i="48"/>
  <c r="L9" i="48"/>
  <c r="L10" i="48"/>
  <c r="L11" i="48"/>
  <c r="L12" i="48"/>
  <c r="L13" i="48"/>
  <c r="L14" i="48"/>
  <c r="L15" i="48"/>
  <c r="L16" i="48"/>
  <c r="L17" i="48"/>
  <c r="L18" i="48"/>
  <c r="L19" i="48"/>
  <c r="L20" i="48"/>
  <c r="L21" i="48"/>
  <c r="L22" i="48"/>
  <c r="L23" i="48"/>
  <c r="L24" i="48"/>
  <c r="L25" i="48"/>
  <c r="L26" i="48"/>
  <c r="L27" i="48"/>
  <c r="L28" i="48"/>
  <c r="L29" i="48"/>
  <c r="L30" i="48"/>
  <c r="L31" i="48"/>
  <c r="L32" i="48"/>
  <c r="L33" i="48"/>
  <c r="L34" i="48"/>
  <c r="L35" i="48"/>
  <c r="L36" i="48"/>
  <c r="L37" i="48"/>
  <c r="L38" i="48"/>
  <c r="L39" i="48"/>
  <c r="L40" i="48"/>
  <c r="L41" i="48"/>
  <c r="L42" i="48"/>
  <c r="L43" i="48"/>
  <c r="L44" i="48"/>
  <c r="L45" i="48"/>
  <c r="L46" i="48"/>
  <c r="L47" i="48"/>
  <c r="L48" i="48"/>
  <c r="L49" i="48"/>
  <c r="L50" i="48"/>
  <c r="L51" i="48"/>
  <c r="L52" i="48"/>
  <c r="L53" i="48"/>
  <c r="F6" i="48"/>
  <c r="G6" i="48"/>
  <c r="F7" i="48"/>
  <c r="G7" i="48"/>
  <c r="F8" i="48"/>
  <c r="G8" i="48"/>
  <c r="F9" i="48"/>
  <c r="G9" i="48"/>
  <c r="F10" i="48"/>
  <c r="G10" i="48"/>
  <c r="F11" i="48"/>
  <c r="G11" i="48"/>
  <c r="F12" i="48"/>
  <c r="G12" i="48"/>
  <c r="F13" i="48"/>
  <c r="G13" i="48"/>
  <c r="F14" i="48"/>
  <c r="G14" i="48"/>
  <c r="F15" i="48"/>
  <c r="G15" i="48"/>
  <c r="F16" i="48"/>
  <c r="G16" i="48"/>
  <c r="F17" i="48"/>
  <c r="G17" i="48"/>
  <c r="F18" i="48"/>
  <c r="G18" i="48"/>
  <c r="F19" i="48"/>
  <c r="G19" i="48"/>
  <c r="F20" i="48"/>
  <c r="G20" i="48"/>
  <c r="F21" i="48"/>
  <c r="G21" i="48"/>
  <c r="F22" i="48"/>
  <c r="G22" i="48"/>
  <c r="F23" i="48"/>
  <c r="G23" i="48"/>
  <c r="F24" i="48"/>
  <c r="G24" i="48"/>
  <c r="F25" i="48"/>
  <c r="G25" i="48"/>
  <c r="F26" i="48"/>
  <c r="G26" i="48"/>
  <c r="F27" i="48"/>
  <c r="G27" i="48"/>
  <c r="F28" i="48"/>
  <c r="G28" i="48"/>
  <c r="F29" i="48"/>
  <c r="G29" i="48"/>
  <c r="F30" i="48"/>
  <c r="G30" i="48"/>
  <c r="F31" i="48"/>
  <c r="G31" i="48"/>
  <c r="F32" i="48"/>
  <c r="G32" i="48"/>
  <c r="F33" i="48"/>
  <c r="G33" i="48"/>
  <c r="F34" i="48"/>
  <c r="G34" i="48"/>
  <c r="F35" i="48"/>
  <c r="G35" i="48"/>
  <c r="F36" i="48"/>
  <c r="G36" i="48"/>
  <c r="F37" i="48"/>
  <c r="G37" i="48"/>
  <c r="F38" i="48"/>
  <c r="G38" i="48"/>
  <c r="F39" i="48"/>
  <c r="G39" i="48"/>
  <c r="F40" i="48"/>
  <c r="G40" i="48"/>
  <c r="F41" i="48"/>
  <c r="G41" i="48"/>
  <c r="F42" i="48"/>
  <c r="G42" i="48"/>
  <c r="F43" i="48"/>
  <c r="G43" i="48"/>
  <c r="F44" i="48"/>
  <c r="G44" i="48"/>
  <c r="F45" i="48"/>
  <c r="G45" i="48"/>
  <c r="F46" i="48"/>
  <c r="G46" i="48"/>
  <c r="F47" i="48"/>
  <c r="G47" i="48"/>
  <c r="F48" i="48"/>
  <c r="G48" i="48"/>
  <c r="F49" i="48"/>
  <c r="G49" i="48"/>
  <c r="F50" i="48"/>
  <c r="G50" i="48"/>
  <c r="F51" i="48"/>
  <c r="G51" i="48"/>
  <c r="F52" i="48"/>
  <c r="G52" i="48"/>
  <c r="F53" i="48"/>
  <c r="G53" i="48"/>
  <c r="F5" i="48"/>
  <c r="G5" i="48"/>
  <c r="L5" i="48"/>
  <c r="L4" i="48"/>
  <c r="G4" i="48"/>
  <c r="F4" i="48"/>
  <c r="K109" i="64"/>
  <c r="K64" i="64"/>
  <c r="K65" i="64"/>
  <c r="K67" i="64"/>
  <c r="K87" i="64"/>
  <c r="K96" i="64"/>
  <c r="K99" i="64"/>
  <c r="K140" i="64"/>
  <c r="K180" i="64"/>
  <c r="K181" i="64"/>
  <c r="K207" i="64"/>
  <c r="K350" i="64"/>
  <c r="K354" i="64"/>
  <c r="K97" i="64"/>
  <c r="K152" i="64"/>
  <c r="K275" i="64"/>
  <c r="K345" i="64"/>
  <c r="K346" i="64"/>
  <c r="K348" i="64"/>
  <c r="K241" i="64"/>
  <c r="K276" i="64"/>
  <c r="K93" i="64"/>
  <c r="K98" i="64"/>
  <c r="K360" i="64"/>
  <c r="K71" i="64"/>
  <c r="K85" i="64"/>
  <c r="K68" i="64"/>
  <c r="K231" i="64"/>
  <c r="K339" i="64"/>
  <c r="K60" i="64"/>
  <c r="K103" i="64"/>
  <c r="K235" i="64"/>
  <c r="K363" i="64"/>
  <c r="K230" i="64"/>
  <c r="K223" i="64"/>
  <c r="K325" i="64"/>
  <c r="K22" i="64"/>
  <c r="K221" i="64"/>
  <c r="K86" i="64"/>
  <c r="K271" i="64"/>
  <c r="K361" i="64"/>
  <c r="K75" i="64"/>
  <c r="K203" i="64"/>
  <c r="K215" i="64"/>
  <c r="K142" i="64"/>
  <c r="K144" i="64"/>
  <c r="K146" i="64"/>
  <c r="K148" i="64"/>
  <c r="K150" i="64"/>
  <c r="K202" i="64"/>
  <c r="K240" i="64"/>
  <c r="K45" i="64"/>
  <c r="K69" i="64"/>
  <c r="K242" i="64"/>
  <c r="K244" i="64"/>
  <c r="K246" i="64"/>
  <c r="K248" i="64"/>
  <c r="K250" i="64"/>
  <c r="K252" i="64"/>
  <c r="K254" i="64"/>
  <c r="K256" i="64"/>
  <c r="K257" i="64"/>
  <c r="K337" i="64"/>
  <c r="K356" i="64"/>
  <c r="K6" i="64"/>
  <c r="K8" i="64"/>
  <c r="K10" i="64"/>
  <c r="K12" i="64"/>
  <c r="K14" i="64"/>
  <c r="K16" i="64"/>
  <c r="K17" i="64"/>
  <c r="K51" i="64"/>
  <c r="K52" i="64"/>
  <c r="K54" i="64"/>
  <c r="K55" i="64"/>
  <c r="K56" i="64"/>
  <c r="K58" i="64"/>
  <c r="K112" i="64"/>
  <c r="K113" i="64"/>
  <c r="K115" i="64"/>
  <c r="K116" i="64"/>
  <c r="K117" i="64"/>
  <c r="K119" i="64"/>
  <c r="K120" i="64"/>
  <c r="K121" i="64"/>
  <c r="K123" i="64"/>
  <c r="K131" i="64"/>
  <c r="K132" i="64"/>
  <c r="K134" i="64"/>
  <c r="K135" i="64"/>
  <c r="K183" i="64"/>
  <c r="K185" i="64"/>
  <c r="K186" i="64"/>
  <c r="K187" i="64"/>
  <c r="K189" i="64"/>
  <c r="K190" i="64"/>
  <c r="K191" i="64"/>
  <c r="K193" i="64"/>
  <c r="K194" i="64"/>
  <c r="K195" i="64"/>
  <c r="K197" i="64"/>
  <c r="K198" i="64"/>
  <c r="K199" i="64"/>
  <c r="K258" i="64"/>
  <c r="K259" i="64"/>
  <c r="K260" i="64"/>
  <c r="K262" i="64"/>
  <c r="K263" i="64"/>
  <c r="K264" i="64"/>
  <c r="K266" i="64"/>
  <c r="K267" i="64"/>
  <c r="K302" i="64"/>
  <c r="K300" i="64"/>
  <c r="K301" i="64"/>
  <c r="K303" i="64"/>
  <c r="K305" i="64"/>
  <c r="K306" i="64"/>
  <c r="K307" i="64"/>
  <c r="K309" i="64"/>
  <c r="K310" i="64"/>
  <c r="K311" i="64"/>
  <c r="K313" i="64"/>
  <c r="K314" i="64"/>
  <c r="K316" i="64"/>
  <c r="K318" i="64"/>
  <c r="K319" i="64"/>
  <c r="K320" i="64"/>
  <c r="K322" i="64"/>
  <c r="K323" i="64"/>
  <c r="K280" i="64"/>
  <c r="K79" i="64"/>
  <c r="K289" i="64"/>
  <c r="K329" i="64"/>
  <c r="K327" i="64"/>
  <c r="K40" i="64"/>
  <c r="K78" i="64"/>
  <c r="K297" i="64"/>
  <c r="K72" i="64"/>
  <c r="K292" i="64"/>
  <c r="K331" i="64"/>
  <c r="K41" i="64"/>
  <c r="K279" i="64"/>
  <c r="K105" i="64"/>
  <c r="K217" i="64"/>
  <c r="K2" i="64"/>
  <c r="K273" i="64"/>
  <c r="K283" i="64"/>
  <c r="K209" i="64"/>
  <c r="K324" i="64"/>
  <c r="K21" i="64"/>
  <c r="K27" i="64"/>
  <c r="K59" i="64"/>
  <c r="K62" i="64"/>
  <c r="K111" i="64"/>
  <c r="K236" i="64"/>
  <c r="K285" i="64"/>
  <c r="K288" i="64"/>
  <c r="K347" i="64"/>
  <c r="K19" i="64"/>
  <c r="K294" i="64"/>
  <c r="K155" i="64"/>
  <c r="K158" i="64"/>
  <c r="K159" i="64"/>
  <c r="K162" i="64"/>
  <c r="K163" i="64"/>
  <c r="K166" i="64"/>
  <c r="K167" i="64"/>
  <c r="K170" i="64"/>
  <c r="K174" i="64"/>
  <c r="D19" i="69" l="1"/>
  <c r="F20" i="69"/>
  <c r="D16" i="69"/>
  <c r="D17" i="69"/>
  <c r="C9" i="69"/>
  <c r="J46" i="64"/>
  <c r="K46" i="64" s="1"/>
  <c r="J127" i="64"/>
  <c r="K127" i="64" s="1"/>
  <c r="J326" i="64"/>
  <c r="K326" i="64" s="1"/>
  <c r="J102" i="64"/>
  <c r="K102" i="64" s="1"/>
  <c r="J110" i="64"/>
  <c r="K110" i="64" s="1"/>
  <c r="J315" i="64"/>
  <c r="K315" i="64" s="1"/>
  <c r="J36" i="64"/>
  <c r="K36" i="64" s="1"/>
  <c r="J298" i="64"/>
  <c r="K298" i="64" s="1"/>
  <c r="J128" i="64"/>
  <c r="K128" i="64" s="1"/>
  <c r="J70" i="64"/>
  <c r="K70" i="64" s="1"/>
  <c r="J295" i="64"/>
  <c r="K295" i="64" s="1"/>
  <c r="J214" i="64"/>
  <c r="K214" i="64" s="1"/>
  <c r="J359" i="64"/>
  <c r="K359" i="64" s="1"/>
  <c r="J234" i="64"/>
  <c r="K234" i="64" s="1"/>
  <c r="J49" i="64"/>
  <c r="K49" i="64" s="1"/>
  <c r="J76" i="64"/>
  <c r="K76" i="64" s="1"/>
  <c r="J42" i="64"/>
  <c r="K42" i="64" s="1"/>
  <c r="J237" i="64"/>
  <c r="K237" i="64" s="1"/>
  <c r="J290" i="64"/>
  <c r="K290" i="64" s="1"/>
  <c r="J274" i="64"/>
  <c r="K274" i="64" s="1"/>
  <c r="J90" i="64"/>
  <c r="K90" i="64" s="1"/>
  <c r="J353" i="64"/>
  <c r="K353" i="64" s="1"/>
  <c r="J220" i="64"/>
  <c r="K220" i="64" s="1"/>
  <c r="J206" i="64"/>
  <c r="K206" i="64" s="1"/>
  <c r="J179" i="64"/>
  <c r="K179" i="64" s="1"/>
  <c r="J139" i="64"/>
  <c r="K139" i="64" s="1"/>
  <c r="J284" i="64"/>
  <c r="K284" i="64" s="1"/>
  <c r="J336" i="64"/>
  <c r="K336" i="64" s="1"/>
  <c r="J296" i="64"/>
  <c r="K296" i="64" s="1"/>
  <c r="J210" i="64"/>
  <c r="K210" i="64" s="1"/>
  <c r="J136" i="64"/>
  <c r="K136" i="64" s="1"/>
  <c r="J34" i="64"/>
  <c r="K34" i="64" s="1"/>
  <c r="J30" i="64"/>
  <c r="K30" i="64" s="1"/>
  <c r="J335" i="64"/>
  <c r="K335" i="64" s="1"/>
  <c r="J277" i="64"/>
  <c r="K277" i="64" s="1"/>
  <c r="J205" i="64"/>
  <c r="K205" i="64" s="1"/>
  <c r="J95" i="64"/>
  <c r="K95" i="64" s="1"/>
  <c r="J33" i="64"/>
  <c r="K33" i="64" s="1"/>
  <c r="J177" i="64"/>
  <c r="K177" i="64" s="1"/>
  <c r="J173" i="64"/>
  <c r="K173" i="64" s="1"/>
  <c r="J169" i="64"/>
  <c r="K169" i="64" s="1"/>
  <c r="J165" i="64"/>
  <c r="K165" i="64" s="1"/>
  <c r="J161" i="64"/>
  <c r="K161" i="64" s="1"/>
  <c r="J157" i="64"/>
  <c r="K157" i="64" s="1"/>
  <c r="J282" i="64"/>
  <c r="K282" i="64" s="1"/>
  <c r="J340" i="64"/>
  <c r="K340" i="64" s="1"/>
  <c r="J269" i="64"/>
  <c r="K269" i="64" s="1"/>
  <c r="J106" i="64"/>
  <c r="K106" i="64" s="1"/>
  <c r="J48" i="64"/>
  <c r="K48" i="64" s="1"/>
  <c r="J20" i="64"/>
  <c r="K20" i="64" s="1"/>
  <c r="J344" i="64"/>
  <c r="K344" i="64" s="1"/>
  <c r="J101" i="64"/>
  <c r="K101" i="64" s="1"/>
  <c r="J107" i="64"/>
  <c r="K107" i="64" s="1"/>
  <c r="J38" i="64"/>
  <c r="K38" i="64" s="1"/>
  <c r="J293" i="64"/>
  <c r="K293" i="64" s="1"/>
  <c r="J291" i="64"/>
  <c r="K291" i="64" s="1"/>
  <c r="J141" i="64"/>
  <c r="K141" i="64" s="1"/>
  <c r="J4" i="64"/>
  <c r="K4" i="64" s="1"/>
  <c r="J50" i="64"/>
  <c r="K50" i="64" s="1"/>
  <c r="J227" i="64"/>
  <c r="K227" i="64" s="1"/>
  <c r="J125" i="64"/>
  <c r="K125" i="64" s="1"/>
  <c r="J104" i="64"/>
  <c r="K104" i="64" s="1"/>
  <c r="J82" i="64"/>
  <c r="K82" i="64" s="1"/>
  <c r="J204" i="64"/>
  <c r="K204" i="64" s="1"/>
  <c r="J362" i="64"/>
  <c r="K362" i="64" s="1"/>
  <c r="J92" i="64"/>
  <c r="K92" i="64" s="1"/>
  <c r="J43" i="64"/>
  <c r="K43" i="64" s="1"/>
  <c r="J225" i="64"/>
  <c r="K225" i="64" s="1"/>
  <c r="J286" i="64"/>
  <c r="K286" i="64" s="1"/>
  <c r="J232" i="64"/>
  <c r="K232" i="64" s="1"/>
  <c r="J328" i="64"/>
  <c r="K328" i="64" s="1"/>
  <c r="J23" i="64"/>
  <c r="K23" i="64" s="1"/>
  <c r="J47" i="64"/>
  <c r="K47" i="64" s="1"/>
  <c r="J278" i="64"/>
  <c r="K278" i="64" s="1"/>
  <c r="J355" i="64"/>
  <c r="K355" i="64" s="1"/>
  <c r="J351" i="64"/>
  <c r="K351" i="64" s="1"/>
  <c r="J208" i="64"/>
  <c r="K208" i="64" s="1"/>
  <c r="J153" i="64"/>
  <c r="K153" i="64" s="1"/>
  <c r="J100" i="64"/>
  <c r="K100" i="64" s="1"/>
  <c r="J88" i="64"/>
  <c r="K88" i="64" s="1"/>
  <c r="J18" i="64"/>
  <c r="K18" i="64" s="1"/>
  <c r="J334" i="64"/>
  <c r="K334" i="64" s="1"/>
  <c r="J219" i="64"/>
  <c r="K219" i="64" s="1"/>
  <c r="J138" i="64"/>
  <c r="K138" i="64" s="1"/>
  <c r="J73" i="64"/>
  <c r="K73" i="64" s="1"/>
  <c r="J32" i="64"/>
  <c r="K32" i="64" s="1"/>
  <c r="J176" i="64"/>
  <c r="K176" i="64" s="1"/>
  <c r="J172" i="64"/>
  <c r="K172" i="64" s="1"/>
  <c r="J168" i="64"/>
  <c r="K168" i="64" s="1"/>
  <c r="J164" i="64"/>
  <c r="K164" i="64" s="1"/>
  <c r="J160" i="64"/>
  <c r="K160" i="64" s="1"/>
  <c r="J156" i="64"/>
  <c r="K156" i="64" s="1"/>
  <c r="J25" i="64"/>
  <c r="K25" i="64" s="1"/>
  <c r="J332" i="64"/>
  <c r="K332" i="64" s="1"/>
  <c r="J238" i="64"/>
  <c r="K238" i="64" s="1"/>
  <c r="J77" i="64"/>
  <c r="K77" i="64" s="1"/>
  <c r="J28" i="64"/>
  <c r="K28" i="64" s="1"/>
  <c r="J228" i="64"/>
  <c r="K228" i="64" s="1"/>
  <c r="J343" i="64"/>
  <c r="K343" i="64" s="1"/>
  <c r="J3" i="64"/>
  <c r="K3" i="64" s="1"/>
  <c r="J212" i="64"/>
  <c r="K212" i="64" s="1"/>
  <c r="J342" i="64"/>
  <c r="K342" i="64" s="1"/>
  <c r="J333" i="64"/>
  <c r="K333" i="64" s="1"/>
  <c r="J213" i="64"/>
  <c r="K213" i="64" s="1"/>
  <c r="J137" i="64"/>
  <c r="K137" i="64" s="1"/>
  <c r="J35" i="64"/>
  <c r="K35" i="64" s="1"/>
  <c r="J31" i="64"/>
  <c r="K31" i="64" s="1"/>
  <c r="J175" i="64"/>
  <c r="K175" i="64" s="1"/>
  <c r="J171" i="64"/>
  <c r="K171" i="64" s="1"/>
  <c r="D20" i="69" l="1"/>
  <c r="F21" i="69" s="1"/>
  <c r="N4" i="48"/>
  <c r="B23" i="47" l="1"/>
  <c r="B22" i="57"/>
  <c r="M4" i="2"/>
  <c r="G5" i="56"/>
  <c r="G6" i="56"/>
  <c r="G7" i="56"/>
  <c r="G8" i="56"/>
  <c r="G9" i="56"/>
  <c r="G10" i="56"/>
  <c r="G11" i="56"/>
  <c r="G12" i="56"/>
  <c r="G13" i="56"/>
  <c r="G14" i="56"/>
  <c r="G15" i="56"/>
  <c r="G16" i="56"/>
  <c r="G17" i="56"/>
  <c r="G18" i="56"/>
  <c r="G19" i="56"/>
  <c r="G20" i="56"/>
  <c r="G21" i="56"/>
  <c r="G22" i="56"/>
  <c r="G23" i="56"/>
  <c r="G4" i="56"/>
  <c r="K4" i="44"/>
  <c r="W5" i="48"/>
  <c r="W6" i="48"/>
  <c r="W7" i="48"/>
  <c r="W8" i="48"/>
  <c r="W9" i="48"/>
  <c r="W10" i="48"/>
  <c r="W11" i="48"/>
  <c r="W12" i="48"/>
  <c r="W13" i="48"/>
  <c r="W14" i="48"/>
  <c r="W15" i="48"/>
  <c r="W16" i="48"/>
  <c r="W17" i="48"/>
  <c r="W18" i="48"/>
  <c r="W19" i="48"/>
  <c r="W20" i="48"/>
  <c r="W21" i="48"/>
  <c r="W22" i="48"/>
  <c r="W23" i="48"/>
  <c r="W24" i="48"/>
  <c r="W25" i="48"/>
  <c r="W26" i="48"/>
  <c r="W27" i="48"/>
  <c r="W28" i="48"/>
  <c r="W29" i="48"/>
  <c r="W30" i="48"/>
  <c r="W31" i="48"/>
  <c r="W32" i="48"/>
  <c r="W33" i="48"/>
  <c r="W34" i="48"/>
  <c r="W35" i="48"/>
  <c r="W36" i="48"/>
  <c r="W37" i="48"/>
  <c r="W38" i="48"/>
  <c r="W39" i="48"/>
  <c r="W40" i="48"/>
  <c r="W41" i="48"/>
  <c r="W42" i="48"/>
  <c r="W43" i="48"/>
  <c r="W44" i="48"/>
  <c r="W45" i="48"/>
  <c r="W46" i="48"/>
  <c r="W47" i="48"/>
  <c r="W48" i="48"/>
  <c r="W49" i="48"/>
  <c r="W50" i="48"/>
  <c r="W51" i="48"/>
  <c r="W52" i="48"/>
  <c r="W53" i="48"/>
  <c r="S2" i="48"/>
  <c r="T2" i="48"/>
  <c r="U2" i="48"/>
  <c r="Y18" i="48" l="1"/>
  <c r="Y12" i="48"/>
  <c r="Y10" i="48"/>
  <c r="Y28" i="48"/>
  <c r="Y20" i="48"/>
  <c r="Y19" i="48"/>
  <c r="Y15" i="48"/>
  <c r="Y11" i="48"/>
  <c r="Y7" i="48"/>
  <c r="Y52" i="48"/>
  <c r="Y32" i="48"/>
  <c r="Y25" i="48"/>
  <c r="Y24" i="48"/>
  <c r="Y33" i="48"/>
  <c r="Y50" i="48"/>
  <c r="Y44" i="48"/>
  <c r="Y42" i="48"/>
  <c r="Y36" i="48"/>
  <c r="Y51" i="48"/>
  <c r="Y47" i="48"/>
  <c r="Y43" i="48"/>
  <c r="Y39" i="48"/>
  <c r="Y49" i="48"/>
  <c r="Y34" i="48"/>
  <c r="Y17" i="48"/>
  <c r="Y48" i="48"/>
  <c r="Y41" i="48"/>
  <c r="Y35" i="48"/>
  <c r="Y31" i="48"/>
  <c r="Y26" i="48"/>
  <c r="Y16" i="48"/>
  <c r="Y9" i="48"/>
  <c r="Y40" i="48"/>
  <c r="Y27" i="48"/>
  <c r="Y23" i="48"/>
  <c r="Y8" i="48"/>
  <c r="Y45" i="48"/>
  <c r="Y38" i="48"/>
  <c r="Y29" i="48"/>
  <c r="Y22" i="48"/>
  <c r="Y13" i="48"/>
  <c r="Y6" i="48"/>
  <c r="Y53" i="48"/>
  <c r="Y46" i="48"/>
  <c r="Y37" i="48"/>
  <c r="Y30" i="48"/>
  <c r="Y21" i="48"/>
  <c r="Y14" i="48"/>
  <c r="Y5" i="48"/>
  <c r="C13" i="57" l="1"/>
  <c r="C12" i="57"/>
  <c r="C11" i="57"/>
  <c r="C8" i="57"/>
  <c r="C7" i="57"/>
  <c r="B8" i="60"/>
  <c r="B9" i="60"/>
  <c r="B10" i="60"/>
  <c r="B11" i="60"/>
  <c r="B12" i="60"/>
  <c r="B13" i="60"/>
  <c r="B14" i="60"/>
  <c r="B15" i="60"/>
  <c r="B16" i="60"/>
  <c r="B17" i="60"/>
  <c r="B18" i="60"/>
  <c r="B19" i="60"/>
  <c r="B20" i="60"/>
  <c r="B21" i="60"/>
  <c r="B22" i="60"/>
  <c r="B23" i="60"/>
  <c r="B24" i="60"/>
  <c r="B25" i="60"/>
  <c r="B26" i="60"/>
  <c r="B27" i="60"/>
  <c r="B28" i="60"/>
  <c r="B29" i="60"/>
  <c r="B30" i="60"/>
  <c r="B31" i="60"/>
  <c r="B32" i="60"/>
  <c r="B33" i="60"/>
  <c r="B34" i="60"/>
  <c r="B35" i="60"/>
  <c r="B36" i="60"/>
  <c r="B37" i="60"/>
  <c r="B38" i="60"/>
  <c r="B39" i="60"/>
  <c r="B40" i="60"/>
  <c r="B41" i="60"/>
  <c r="B42" i="60"/>
  <c r="B43" i="60"/>
  <c r="B44" i="60"/>
  <c r="B45" i="60"/>
  <c r="B46" i="60"/>
  <c r="B47" i="60"/>
  <c r="B48" i="60"/>
  <c r="B49" i="60"/>
  <c r="B50" i="60"/>
  <c r="B51" i="60"/>
  <c r="B52" i="60"/>
  <c r="B53" i="60"/>
  <c r="B54" i="60"/>
  <c r="B55" i="60"/>
  <c r="B56" i="60"/>
  <c r="B57" i="60"/>
  <c r="B58" i="60"/>
  <c r="B59" i="60"/>
  <c r="B60" i="60"/>
  <c r="B61" i="60"/>
  <c r="B62" i="60"/>
  <c r="B63" i="60"/>
  <c r="B64" i="60"/>
  <c r="B65" i="60"/>
  <c r="B66" i="60"/>
  <c r="B67" i="60"/>
  <c r="B68" i="60"/>
  <c r="B69" i="60"/>
  <c r="B70" i="60"/>
  <c r="B71" i="60"/>
  <c r="B72" i="60"/>
  <c r="B73" i="60"/>
  <c r="B74" i="60"/>
  <c r="B75" i="60"/>
  <c r="B76" i="60"/>
  <c r="B77" i="60"/>
  <c r="B78" i="60"/>
  <c r="B79" i="60"/>
  <c r="B80" i="60"/>
  <c r="B81" i="60"/>
  <c r="B82" i="60"/>
  <c r="B83" i="60"/>
  <c r="B84" i="60"/>
  <c r="B85" i="60"/>
  <c r="B86" i="60"/>
  <c r="B87" i="60"/>
  <c r="B88" i="60"/>
  <c r="B90" i="60"/>
  <c r="B91" i="60"/>
  <c r="B92" i="60"/>
  <c r="B93" i="60"/>
  <c r="B94" i="60"/>
  <c r="B95" i="60"/>
  <c r="B96" i="60"/>
  <c r="B97" i="60"/>
  <c r="B98" i="60"/>
  <c r="B99" i="60"/>
  <c r="B100" i="60"/>
  <c r="B101" i="60"/>
  <c r="B102" i="60"/>
  <c r="B103" i="60"/>
  <c r="B104" i="60"/>
  <c r="B105" i="60"/>
  <c r="B106" i="60"/>
  <c r="B107" i="60"/>
  <c r="B108" i="60"/>
  <c r="B109" i="60"/>
  <c r="B110" i="60"/>
  <c r="B111" i="60"/>
  <c r="B112" i="60"/>
  <c r="B113" i="60"/>
  <c r="B114" i="60"/>
  <c r="B115" i="60"/>
  <c r="B116" i="60"/>
  <c r="B117" i="60"/>
  <c r="B118" i="60"/>
  <c r="B119" i="60"/>
  <c r="B120" i="60"/>
  <c r="B121" i="60"/>
  <c r="B122" i="60"/>
  <c r="B123" i="60"/>
  <c r="B124" i="60"/>
  <c r="B125" i="60"/>
  <c r="B126" i="60"/>
  <c r="B127" i="60"/>
  <c r="B128" i="60"/>
  <c r="B129" i="60"/>
  <c r="B130" i="60"/>
  <c r="B131" i="60"/>
  <c r="B132" i="60"/>
  <c r="B133" i="60"/>
  <c r="B134" i="60"/>
  <c r="B135" i="60"/>
  <c r="B136" i="60"/>
  <c r="B137" i="60"/>
  <c r="B138" i="60"/>
  <c r="B139" i="60"/>
  <c r="B140" i="60"/>
  <c r="B141" i="60"/>
  <c r="B142" i="60"/>
  <c r="B143" i="60"/>
  <c r="B144" i="60"/>
  <c r="B145" i="60"/>
  <c r="B146" i="60"/>
  <c r="B147" i="60"/>
  <c r="B148" i="60"/>
  <c r="B149" i="60"/>
  <c r="B150" i="60"/>
  <c r="B151" i="60"/>
  <c r="B152" i="60"/>
  <c r="B153" i="60"/>
  <c r="B154" i="60"/>
  <c r="B155" i="60"/>
  <c r="B156" i="60"/>
  <c r="B157" i="60"/>
  <c r="B158" i="60"/>
  <c r="B159" i="60"/>
  <c r="B160" i="60"/>
  <c r="B161" i="60"/>
  <c r="B162" i="60"/>
  <c r="B163" i="60"/>
  <c r="B164" i="60"/>
  <c r="B165" i="60"/>
  <c r="B166" i="60"/>
  <c r="B167" i="60"/>
  <c r="B168" i="60"/>
  <c r="B169" i="60"/>
  <c r="B170" i="60"/>
  <c r="B171" i="60"/>
  <c r="B172" i="60"/>
  <c r="B173" i="60"/>
  <c r="B174" i="60"/>
  <c r="B175" i="60"/>
  <c r="B176" i="60"/>
  <c r="B177" i="60"/>
  <c r="B178" i="60"/>
  <c r="B179" i="60"/>
  <c r="B180" i="60"/>
  <c r="B181" i="60"/>
  <c r="B7" i="60"/>
  <c r="P16" i="60"/>
  <c r="P47" i="60"/>
  <c r="R47" i="60" s="1"/>
  <c r="P52" i="60"/>
  <c r="P53" i="60"/>
  <c r="R53" i="60" s="1"/>
  <c r="P103" i="60"/>
  <c r="R103" i="60" s="1"/>
  <c r="P132" i="60"/>
  <c r="P55" i="60"/>
  <c r="R55" i="60" s="1"/>
  <c r="P129" i="60"/>
  <c r="R129" i="60" s="1"/>
  <c r="P130" i="60"/>
  <c r="R130" i="60" s="1"/>
  <c r="P9" i="60"/>
  <c r="R9" i="60" s="1"/>
  <c r="P27" i="60"/>
  <c r="P28" i="60"/>
  <c r="P66" i="60"/>
  <c r="R66" i="60" s="1"/>
  <c r="P101" i="60"/>
  <c r="R101" i="60" s="1"/>
  <c r="P131" i="60"/>
  <c r="R131" i="60" s="1"/>
  <c r="P139" i="60"/>
  <c r="R139" i="60" s="1"/>
  <c r="P142" i="60"/>
  <c r="Q142" i="60" s="1"/>
  <c r="P143" i="60"/>
  <c r="R143" i="60" s="1"/>
  <c r="P161" i="60"/>
  <c r="R161" i="60" s="1"/>
  <c r="P120" i="60"/>
  <c r="P13" i="60"/>
  <c r="Q13" i="60" s="1"/>
  <c r="P29" i="60"/>
  <c r="Q29" i="60" s="1"/>
  <c r="P30" i="60"/>
  <c r="Q30" i="60" s="1"/>
  <c r="P42" i="60"/>
  <c r="R42" i="60" s="1"/>
  <c r="P84" i="60"/>
  <c r="P109" i="60"/>
  <c r="Q109" i="60" s="1"/>
  <c r="P178" i="60"/>
  <c r="R178" i="60" s="1"/>
  <c r="P17" i="60"/>
  <c r="R17" i="60" s="1"/>
  <c r="P26" i="60"/>
  <c r="R26" i="60" s="1"/>
  <c r="P31" i="60"/>
  <c r="R31" i="60" s="1"/>
  <c r="P32" i="60"/>
  <c r="P33" i="60"/>
  <c r="R33" i="60" s="1"/>
  <c r="P40" i="60"/>
  <c r="P41" i="60"/>
  <c r="R41" i="60" s="1"/>
  <c r="P73" i="60"/>
  <c r="R73" i="60" s="1"/>
  <c r="P78" i="60"/>
  <c r="Q78" i="60" s="1"/>
  <c r="P100" i="60"/>
  <c r="P136" i="60"/>
  <c r="P137" i="60"/>
  <c r="R137" i="60" s="1"/>
  <c r="P147" i="60"/>
  <c r="R147" i="60" s="1"/>
  <c r="P160" i="60"/>
  <c r="P162" i="60"/>
  <c r="R162" i="60" s="1"/>
  <c r="P163" i="60"/>
  <c r="R163" i="60" s="1"/>
  <c r="P165" i="60"/>
  <c r="R165" i="60" s="1"/>
  <c r="P166" i="60"/>
  <c r="Q166" i="60" s="1"/>
  <c r="P8" i="60"/>
  <c r="P14" i="60"/>
  <c r="Q14" i="60" s="1"/>
  <c r="P19" i="60"/>
  <c r="R19" i="60" s="1"/>
  <c r="P37" i="60"/>
  <c r="R37" i="60" s="1"/>
  <c r="P49" i="60"/>
  <c r="R49" i="60" s="1"/>
  <c r="P74" i="60"/>
  <c r="R74" i="60" s="1"/>
  <c r="P105" i="60"/>
  <c r="R105" i="60" s="1"/>
  <c r="P106" i="60"/>
  <c r="R106" i="60" s="1"/>
  <c r="P116" i="60"/>
  <c r="P119" i="60"/>
  <c r="R119" i="60" s="1"/>
  <c r="P150" i="60"/>
  <c r="Q150" i="60" s="1"/>
  <c r="P151" i="60"/>
  <c r="R151" i="60" s="1"/>
  <c r="P153" i="60"/>
  <c r="R153" i="60" s="1"/>
  <c r="P167" i="60"/>
  <c r="R167" i="60" s="1"/>
  <c r="P170" i="60"/>
  <c r="R170" i="60" s="1"/>
  <c r="P171" i="60"/>
  <c r="R171" i="60" s="1"/>
  <c r="P36" i="60"/>
  <c r="P79" i="60"/>
  <c r="R79" i="60" s="1"/>
  <c r="P111" i="60"/>
  <c r="R111" i="60" s="1"/>
  <c r="P179" i="60"/>
  <c r="R179" i="60" s="1"/>
  <c r="P11" i="60"/>
  <c r="R11" i="60" s="1"/>
  <c r="P43" i="60"/>
  <c r="R43" i="60" s="1"/>
  <c r="P90" i="60"/>
  <c r="R90" i="60" s="1"/>
  <c r="P138" i="60"/>
  <c r="R138" i="60" s="1"/>
  <c r="P172" i="60"/>
  <c r="P20" i="60"/>
  <c r="P34" i="60"/>
  <c r="R34" i="60" s="1"/>
  <c r="P35" i="60"/>
  <c r="R35" i="60" s="1"/>
  <c r="P50" i="60"/>
  <c r="R50" i="60" s="1"/>
  <c r="P59" i="60"/>
  <c r="R59" i="60" s="1"/>
  <c r="P60" i="60"/>
  <c r="P61" i="60"/>
  <c r="Q61" i="60" s="1"/>
  <c r="P72" i="60"/>
  <c r="P83" i="60"/>
  <c r="R83" i="60" s="1"/>
  <c r="P113" i="60"/>
  <c r="R113" i="60" s="1"/>
  <c r="P114" i="60"/>
  <c r="R114" i="60" s="1"/>
  <c r="P152" i="60"/>
  <c r="P174" i="60"/>
  <c r="Q174" i="60" s="1"/>
  <c r="P44" i="60"/>
  <c r="P45" i="60"/>
  <c r="Q45" i="60" s="1"/>
  <c r="P46" i="60"/>
  <c r="Q46" i="60" s="1"/>
  <c r="P75" i="60"/>
  <c r="R75" i="60" s="1"/>
  <c r="P76" i="60"/>
  <c r="P81" i="60"/>
  <c r="R81" i="60" s="1"/>
  <c r="P82" i="60"/>
  <c r="R82" i="60" s="1"/>
  <c r="P159" i="60"/>
  <c r="R159" i="60" s="1"/>
  <c r="P164" i="60"/>
  <c r="P80" i="60"/>
  <c r="P93" i="60"/>
  <c r="Q93" i="60" s="1"/>
  <c r="P94" i="60"/>
  <c r="Q94" i="60" s="1"/>
  <c r="P77" i="60"/>
  <c r="Q77" i="60" s="1"/>
  <c r="P108" i="60"/>
  <c r="P180" i="60"/>
  <c r="Q180" i="60" s="1"/>
  <c r="P181" i="60"/>
  <c r="R181" i="60" s="1"/>
  <c r="P70" i="60"/>
  <c r="Q70" i="60" s="1"/>
  <c r="P91" i="60"/>
  <c r="R91" i="60" s="1"/>
  <c r="P99" i="60"/>
  <c r="R99" i="60" s="1"/>
  <c r="P102" i="60"/>
  <c r="Q102" i="60" s="1"/>
  <c r="P110" i="60"/>
  <c r="Q110" i="60" s="1"/>
  <c r="P115" i="60"/>
  <c r="R115" i="60" s="1"/>
  <c r="P141" i="60"/>
  <c r="Q141" i="60" s="1"/>
  <c r="P173" i="60"/>
  <c r="Q173" i="60" s="1"/>
  <c r="P18" i="60"/>
  <c r="R18" i="60" s="1"/>
  <c r="P24" i="60"/>
  <c r="P25" i="60"/>
  <c r="R25" i="60" s="1"/>
  <c r="P92" i="60"/>
  <c r="P107" i="60"/>
  <c r="R107" i="60" s="1"/>
  <c r="P168" i="60"/>
  <c r="P23" i="60"/>
  <c r="R23" i="60" s="1"/>
  <c r="P56" i="60"/>
  <c r="P64" i="60"/>
  <c r="P124" i="60"/>
  <c r="P127" i="60"/>
  <c r="R127" i="60" s="1"/>
  <c r="P128" i="60"/>
  <c r="P71" i="60"/>
  <c r="R71" i="60" s="1"/>
  <c r="P154" i="60"/>
  <c r="R154" i="60" s="1"/>
  <c r="P39" i="60"/>
  <c r="R39" i="60" s="1"/>
  <c r="P38" i="60"/>
  <c r="Q38" i="60" s="1"/>
  <c r="P57" i="60"/>
  <c r="R57" i="60" s="1"/>
  <c r="P58" i="60"/>
  <c r="R58" i="60" s="1"/>
  <c r="P95" i="60"/>
  <c r="R95" i="60" s="1"/>
  <c r="P96" i="60"/>
  <c r="P121" i="60"/>
  <c r="R121" i="60" s="1"/>
  <c r="P122" i="60"/>
  <c r="R122" i="60" s="1"/>
  <c r="P123" i="60"/>
  <c r="R123" i="60" s="1"/>
  <c r="P112" i="60"/>
  <c r="P144" i="60"/>
  <c r="P145" i="60"/>
  <c r="R145" i="60" s="1"/>
  <c r="P10" i="60"/>
  <c r="R10" i="60" s="1"/>
  <c r="P12" i="60"/>
  <c r="P48" i="60"/>
  <c r="P63" i="60"/>
  <c r="R63" i="60" s="1"/>
  <c r="P62" i="60"/>
  <c r="Q62" i="60" s="1"/>
  <c r="P67" i="60"/>
  <c r="R67" i="60" s="1"/>
  <c r="P85" i="60"/>
  <c r="R85" i="60" s="1"/>
  <c r="P86" i="60"/>
  <c r="Q86" i="60" s="1"/>
  <c r="P87" i="60"/>
  <c r="R87" i="60" s="1"/>
  <c r="P88" i="60"/>
  <c r="P89" i="60"/>
  <c r="R89" i="60" s="1"/>
  <c r="P117" i="60"/>
  <c r="R117" i="60" s="1"/>
  <c r="P118" i="60"/>
  <c r="Q118" i="60" s="1"/>
  <c r="P51" i="60"/>
  <c r="R51" i="60" s="1"/>
  <c r="P146" i="60"/>
  <c r="R146" i="60" s="1"/>
  <c r="P54" i="60"/>
  <c r="Q54" i="60" s="1"/>
  <c r="P97" i="60"/>
  <c r="R97" i="60" s="1"/>
  <c r="P104" i="60"/>
  <c r="P68" i="60"/>
  <c r="P98" i="60"/>
  <c r="R98" i="60" s="1"/>
  <c r="P155" i="60"/>
  <c r="R155" i="60" s="1"/>
  <c r="P156" i="60"/>
  <c r="P157" i="60"/>
  <c r="Q157" i="60" s="1"/>
  <c r="P158" i="60"/>
  <c r="Q158" i="60" s="1"/>
  <c r="P21" i="60"/>
  <c r="R21" i="60" s="1"/>
  <c r="P22" i="60"/>
  <c r="Q22" i="60" s="1"/>
  <c r="P133" i="60"/>
  <c r="R133" i="60" s="1"/>
  <c r="P140" i="60"/>
  <c r="P148" i="60"/>
  <c r="P149" i="60"/>
  <c r="R149" i="60" s="1"/>
  <c r="P169" i="60"/>
  <c r="R169" i="60" s="1"/>
  <c r="P177" i="60"/>
  <c r="R177" i="60" s="1"/>
  <c r="P65" i="60"/>
  <c r="R65" i="60" s="1"/>
  <c r="P69" i="60"/>
  <c r="R69" i="60" s="1"/>
  <c r="P125" i="60"/>
  <c r="Q125" i="60" s="1"/>
  <c r="P126" i="60"/>
  <c r="Q126" i="60" s="1"/>
  <c r="P134" i="60"/>
  <c r="Q134" i="60" s="1"/>
  <c r="P135" i="60"/>
  <c r="R135" i="60" s="1"/>
  <c r="P175" i="60"/>
  <c r="R175" i="60" s="1"/>
  <c r="P176" i="60"/>
  <c r="R176" i="60" s="1"/>
  <c r="P15" i="60"/>
  <c r="R15" i="60" s="1"/>
  <c r="H16" i="60"/>
  <c r="I16" i="60"/>
  <c r="J16" i="60"/>
  <c r="H47" i="60"/>
  <c r="I47" i="60"/>
  <c r="J47" i="60"/>
  <c r="H52" i="60"/>
  <c r="I52" i="60"/>
  <c r="J52" i="60"/>
  <c r="H53" i="60"/>
  <c r="I53" i="60"/>
  <c r="J53" i="60"/>
  <c r="H103" i="60"/>
  <c r="I103" i="60"/>
  <c r="J103" i="60"/>
  <c r="H132" i="60"/>
  <c r="I132" i="60"/>
  <c r="J132" i="60"/>
  <c r="H55" i="60"/>
  <c r="I55" i="60"/>
  <c r="J55" i="60"/>
  <c r="H129" i="60"/>
  <c r="I129" i="60"/>
  <c r="J129" i="60"/>
  <c r="H130" i="60"/>
  <c r="I130" i="60"/>
  <c r="J130" i="60"/>
  <c r="H9" i="60"/>
  <c r="I9" i="60"/>
  <c r="J9" i="60"/>
  <c r="H27" i="60"/>
  <c r="I27" i="60"/>
  <c r="J27" i="60"/>
  <c r="H28" i="60"/>
  <c r="I28" i="60"/>
  <c r="J28" i="60"/>
  <c r="H66" i="60"/>
  <c r="I66" i="60"/>
  <c r="J66" i="60"/>
  <c r="H101" i="60"/>
  <c r="I101" i="60"/>
  <c r="J101" i="60"/>
  <c r="H131" i="60"/>
  <c r="I131" i="60"/>
  <c r="J131" i="60"/>
  <c r="H139" i="60"/>
  <c r="I139" i="60"/>
  <c r="J139" i="60"/>
  <c r="H142" i="60"/>
  <c r="I142" i="60"/>
  <c r="J142" i="60"/>
  <c r="H143" i="60"/>
  <c r="I143" i="60"/>
  <c r="J143" i="60"/>
  <c r="H161" i="60"/>
  <c r="I161" i="60"/>
  <c r="J161" i="60"/>
  <c r="H120" i="60"/>
  <c r="I120" i="60"/>
  <c r="J120" i="60"/>
  <c r="H13" i="60"/>
  <c r="I13" i="60"/>
  <c r="J13" i="60"/>
  <c r="H29" i="60"/>
  <c r="I29" i="60"/>
  <c r="J29" i="60"/>
  <c r="H30" i="60"/>
  <c r="I30" i="60"/>
  <c r="J30" i="60"/>
  <c r="H42" i="60"/>
  <c r="I42" i="60"/>
  <c r="J42" i="60"/>
  <c r="H84" i="60"/>
  <c r="I84" i="60"/>
  <c r="J84" i="60"/>
  <c r="H109" i="60"/>
  <c r="I109" i="60"/>
  <c r="J109" i="60"/>
  <c r="H178" i="60"/>
  <c r="I178" i="60"/>
  <c r="J178" i="60"/>
  <c r="H17" i="60"/>
  <c r="I17" i="60"/>
  <c r="J17" i="60"/>
  <c r="H26" i="60"/>
  <c r="I26" i="60"/>
  <c r="J26" i="60"/>
  <c r="H31" i="60"/>
  <c r="I31" i="60"/>
  <c r="J31" i="60"/>
  <c r="H32" i="60"/>
  <c r="I32" i="60"/>
  <c r="J32" i="60"/>
  <c r="H33" i="60"/>
  <c r="I33" i="60"/>
  <c r="J33" i="60"/>
  <c r="H40" i="60"/>
  <c r="I40" i="60"/>
  <c r="J40" i="60"/>
  <c r="H41" i="60"/>
  <c r="I41" i="60"/>
  <c r="J41" i="60"/>
  <c r="H73" i="60"/>
  <c r="I73" i="60"/>
  <c r="J73" i="60"/>
  <c r="H78" i="60"/>
  <c r="I78" i="60"/>
  <c r="J78" i="60"/>
  <c r="H100" i="60"/>
  <c r="I100" i="60"/>
  <c r="J100" i="60"/>
  <c r="H136" i="60"/>
  <c r="I136" i="60"/>
  <c r="J136" i="60"/>
  <c r="H137" i="60"/>
  <c r="I137" i="60"/>
  <c r="J137" i="60"/>
  <c r="H147" i="60"/>
  <c r="I147" i="60"/>
  <c r="J147" i="60"/>
  <c r="H160" i="60"/>
  <c r="I160" i="60"/>
  <c r="J160" i="60"/>
  <c r="H162" i="60"/>
  <c r="I162" i="60"/>
  <c r="J162" i="60"/>
  <c r="H163" i="60"/>
  <c r="I163" i="60"/>
  <c r="J163" i="60"/>
  <c r="H165" i="60"/>
  <c r="I165" i="60"/>
  <c r="J165" i="60"/>
  <c r="H166" i="60"/>
  <c r="I166" i="60"/>
  <c r="J166" i="60"/>
  <c r="H8" i="60"/>
  <c r="I8" i="60"/>
  <c r="J8" i="60"/>
  <c r="H14" i="60"/>
  <c r="I14" i="60"/>
  <c r="J14" i="60"/>
  <c r="H19" i="60"/>
  <c r="I19" i="60"/>
  <c r="J19" i="60"/>
  <c r="H37" i="60"/>
  <c r="I37" i="60"/>
  <c r="J37" i="60"/>
  <c r="H49" i="60"/>
  <c r="I49" i="60"/>
  <c r="J49" i="60"/>
  <c r="H74" i="60"/>
  <c r="I74" i="60"/>
  <c r="J74" i="60"/>
  <c r="H105" i="60"/>
  <c r="I105" i="60"/>
  <c r="J105" i="60"/>
  <c r="H106" i="60"/>
  <c r="I106" i="60"/>
  <c r="J106" i="60"/>
  <c r="H116" i="60"/>
  <c r="I116" i="60"/>
  <c r="J116" i="60"/>
  <c r="H119" i="60"/>
  <c r="I119" i="60"/>
  <c r="J119" i="60"/>
  <c r="H150" i="60"/>
  <c r="I150" i="60"/>
  <c r="J150" i="60"/>
  <c r="H151" i="60"/>
  <c r="I151" i="60"/>
  <c r="J151" i="60"/>
  <c r="H153" i="60"/>
  <c r="I153" i="60"/>
  <c r="J153" i="60"/>
  <c r="H167" i="60"/>
  <c r="I167" i="60"/>
  <c r="J167" i="60"/>
  <c r="H170" i="60"/>
  <c r="I170" i="60"/>
  <c r="J170" i="60"/>
  <c r="H171" i="60"/>
  <c r="I171" i="60"/>
  <c r="J171" i="60"/>
  <c r="H36" i="60"/>
  <c r="I36" i="60"/>
  <c r="J36" i="60"/>
  <c r="H79" i="60"/>
  <c r="I79" i="60"/>
  <c r="J79" i="60"/>
  <c r="H111" i="60"/>
  <c r="I111" i="60"/>
  <c r="J111" i="60"/>
  <c r="H179" i="60"/>
  <c r="I179" i="60"/>
  <c r="J179" i="60"/>
  <c r="H11" i="60"/>
  <c r="I11" i="60"/>
  <c r="J11" i="60"/>
  <c r="H43" i="60"/>
  <c r="I43" i="60"/>
  <c r="J43" i="60"/>
  <c r="H90" i="60"/>
  <c r="I90" i="60"/>
  <c r="J90" i="60"/>
  <c r="H138" i="60"/>
  <c r="I138" i="60"/>
  <c r="J138" i="60"/>
  <c r="H172" i="60"/>
  <c r="I172" i="60"/>
  <c r="J172" i="60"/>
  <c r="H20" i="60"/>
  <c r="I20" i="60"/>
  <c r="J20" i="60"/>
  <c r="H34" i="60"/>
  <c r="I34" i="60"/>
  <c r="J34" i="60"/>
  <c r="H35" i="60"/>
  <c r="I35" i="60"/>
  <c r="J35" i="60"/>
  <c r="H50" i="60"/>
  <c r="I50" i="60"/>
  <c r="J50" i="60"/>
  <c r="H59" i="60"/>
  <c r="I59" i="60"/>
  <c r="J59" i="60"/>
  <c r="H60" i="60"/>
  <c r="I60" i="60"/>
  <c r="J60" i="60"/>
  <c r="H61" i="60"/>
  <c r="I61" i="60"/>
  <c r="J61" i="60"/>
  <c r="H72" i="60"/>
  <c r="I72" i="60"/>
  <c r="J72" i="60"/>
  <c r="H83" i="60"/>
  <c r="I83" i="60"/>
  <c r="J83" i="60"/>
  <c r="H113" i="60"/>
  <c r="I113" i="60"/>
  <c r="J113" i="60"/>
  <c r="H114" i="60"/>
  <c r="I114" i="60"/>
  <c r="J114" i="60"/>
  <c r="H152" i="60"/>
  <c r="I152" i="60"/>
  <c r="J152" i="60"/>
  <c r="H174" i="60"/>
  <c r="I174" i="60"/>
  <c r="J174" i="60"/>
  <c r="H44" i="60"/>
  <c r="I44" i="60"/>
  <c r="J44" i="60"/>
  <c r="H45" i="60"/>
  <c r="I45" i="60"/>
  <c r="J45" i="60"/>
  <c r="H46" i="60"/>
  <c r="I46" i="60"/>
  <c r="J46" i="60"/>
  <c r="H75" i="60"/>
  <c r="I75" i="60"/>
  <c r="J75" i="60"/>
  <c r="H76" i="60"/>
  <c r="I76" i="60"/>
  <c r="J76" i="60"/>
  <c r="H81" i="60"/>
  <c r="I81" i="60"/>
  <c r="J81" i="60"/>
  <c r="H82" i="60"/>
  <c r="I82" i="60"/>
  <c r="J82" i="60"/>
  <c r="H159" i="60"/>
  <c r="I159" i="60"/>
  <c r="J159" i="60"/>
  <c r="H164" i="60"/>
  <c r="I164" i="60"/>
  <c r="J164" i="60"/>
  <c r="H80" i="60"/>
  <c r="I80" i="60"/>
  <c r="J80" i="60"/>
  <c r="H93" i="60"/>
  <c r="I93" i="60"/>
  <c r="J93" i="60"/>
  <c r="H94" i="60"/>
  <c r="I94" i="60"/>
  <c r="J94" i="60"/>
  <c r="H77" i="60"/>
  <c r="I77" i="60"/>
  <c r="J77" i="60"/>
  <c r="H108" i="60"/>
  <c r="I108" i="60"/>
  <c r="J108" i="60"/>
  <c r="H180" i="60"/>
  <c r="I180" i="60"/>
  <c r="J180" i="60"/>
  <c r="H181" i="60"/>
  <c r="I181" i="60"/>
  <c r="J181" i="60"/>
  <c r="H70" i="60"/>
  <c r="I70" i="60"/>
  <c r="J70" i="60"/>
  <c r="H91" i="60"/>
  <c r="I91" i="60"/>
  <c r="J91" i="60"/>
  <c r="H99" i="60"/>
  <c r="I99" i="60"/>
  <c r="J99" i="60"/>
  <c r="H102" i="60"/>
  <c r="I102" i="60"/>
  <c r="J102" i="60"/>
  <c r="H110" i="60"/>
  <c r="I110" i="60"/>
  <c r="J110" i="60"/>
  <c r="H115" i="60"/>
  <c r="I115" i="60"/>
  <c r="J115" i="60"/>
  <c r="H141" i="60"/>
  <c r="I141" i="60"/>
  <c r="J141" i="60"/>
  <c r="H173" i="60"/>
  <c r="I173" i="60"/>
  <c r="J173" i="60"/>
  <c r="H18" i="60"/>
  <c r="I18" i="60"/>
  <c r="J18" i="60"/>
  <c r="H24" i="60"/>
  <c r="I24" i="60"/>
  <c r="J24" i="60"/>
  <c r="H25" i="60"/>
  <c r="I25" i="60"/>
  <c r="J25" i="60"/>
  <c r="H92" i="60"/>
  <c r="I92" i="60"/>
  <c r="J92" i="60"/>
  <c r="H107" i="60"/>
  <c r="I107" i="60"/>
  <c r="J107" i="60"/>
  <c r="H168" i="60"/>
  <c r="I168" i="60"/>
  <c r="J168" i="60"/>
  <c r="H23" i="60"/>
  <c r="I23" i="60"/>
  <c r="J23" i="60"/>
  <c r="H56" i="60"/>
  <c r="I56" i="60"/>
  <c r="J56" i="60"/>
  <c r="H64" i="60"/>
  <c r="I64" i="60"/>
  <c r="J64" i="60"/>
  <c r="H124" i="60"/>
  <c r="I124" i="60"/>
  <c r="J124" i="60"/>
  <c r="H127" i="60"/>
  <c r="I127" i="60"/>
  <c r="J127" i="60"/>
  <c r="H128" i="60"/>
  <c r="I128" i="60"/>
  <c r="J128" i="60"/>
  <c r="H71" i="60"/>
  <c r="I71" i="60"/>
  <c r="J71" i="60"/>
  <c r="H154" i="60"/>
  <c r="I154" i="60"/>
  <c r="J154" i="60"/>
  <c r="H39" i="60"/>
  <c r="I39" i="60"/>
  <c r="J39" i="60"/>
  <c r="H38" i="60"/>
  <c r="I38" i="60"/>
  <c r="J38" i="60"/>
  <c r="H57" i="60"/>
  <c r="I57" i="60"/>
  <c r="J57" i="60"/>
  <c r="H58" i="60"/>
  <c r="I58" i="60"/>
  <c r="J58" i="60"/>
  <c r="H95" i="60"/>
  <c r="I95" i="60"/>
  <c r="J95" i="60"/>
  <c r="H96" i="60"/>
  <c r="I96" i="60"/>
  <c r="J96" i="60"/>
  <c r="H121" i="60"/>
  <c r="I121" i="60"/>
  <c r="J121" i="60"/>
  <c r="H122" i="60"/>
  <c r="I122" i="60"/>
  <c r="J122" i="60"/>
  <c r="H123" i="60"/>
  <c r="I123" i="60"/>
  <c r="J123" i="60"/>
  <c r="H112" i="60"/>
  <c r="I112" i="60"/>
  <c r="J112" i="60"/>
  <c r="H144" i="60"/>
  <c r="I144" i="60"/>
  <c r="J144" i="60"/>
  <c r="H145" i="60"/>
  <c r="I145" i="60"/>
  <c r="J145" i="60"/>
  <c r="H10" i="60"/>
  <c r="I10" i="60"/>
  <c r="J10" i="60"/>
  <c r="H12" i="60"/>
  <c r="I12" i="60"/>
  <c r="J12" i="60"/>
  <c r="H48" i="60"/>
  <c r="I48" i="60"/>
  <c r="J48" i="60"/>
  <c r="H63" i="60"/>
  <c r="I63" i="60"/>
  <c r="J63" i="60"/>
  <c r="H62" i="60"/>
  <c r="I62" i="60"/>
  <c r="J62" i="60"/>
  <c r="H67" i="60"/>
  <c r="I67" i="60"/>
  <c r="J67" i="60"/>
  <c r="H85" i="60"/>
  <c r="I85" i="60"/>
  <c r="J85" i="60"/>
  <c r="H86" i="60"/>
  <c r="I86" i="60"/>
  <c r="J86" i="60"/>
  <c r="H87" i="60"/>
  <c r="I87" i="60"/>
  <c r="J87" i="60"/>
  <c r="H88" i="60"/>
  <c r="I88" i="60"/>
  <c r="J88" i="60"/>
  <c r="H89" i="60"/>
  <c r="I89" i="60"/>
  <c r="J89" i="60"/>
  <c r="H117" i="60"/>
  <c r="I117" i="60"/>
  <c r="J117" i="60"/>
  <c r="H118" i="60"/>
  <c r="I118" i="60"/>
  <c r="J118" i="60"/>
  <c r="H51" i="60"/>
  <c r="I51" i="60"/>
  <c r="J51" i="60"/>
  <c r="H146" i="60"/>
  <c r="I146" i="60"/>
  <c r="J146" i="60"/>
  <c r="H54" i="60"/>
  <c r="I54" i="60"/>
  <c r="J54" i="60"/>
  <c r="H97" i="60"/>
  <c r="I97" i="60"/>
  <c r="J97" i="60"/>
  <c r="H104" i="60"/>
  <c r="I104" i="60"/>
  <c r="J104" i="60"/>
  <c r="H68" i="60"/>
  <c r="I68" i="60"/>
  <c r="J68" i="60"/>
  <c r="H98" i="60"/>
  <c r="I98" i="60"/>
  <c r="J98" i="60"/>
  <c r="H155" i="60"/>
  <c r="I155" i="60"/>
  <c r="J155" i="60"/>
  <c r="H156" i="60"/>
  <c r="I156" i="60"/>
  <c r="J156" i="60"/>
  <c r="H157" i="60"/>
  <c r="I157" i="60"/>
  <c r="J157" i="60"/>
  <c r="H158" i="60"/>
  <c r="I158" i="60"/>
  <c r="J158" i="60"/>
  <c r="H21" i="60"/>
  <c r="I21" i="60"/>
  <c r="J21" i="60"/>
  <c r="H22" i="60"/>
  <c r="I22" i="60"/>
  <c r="J22" i="60"/>
  <c r="H133" i="60"/>
  <c r="I133" i="60"/>
  <c r="J133" i="60"/>
  <c r="H140" i="60"/>
  <c r="I140" i="60"/>
  <c r="J140" i="60"/>
  <c r="H148" i="60"/>
  <c r="I148" i="60"/>
  <c r="J148" i="60"/>
  <c r="H149" i="60"/>
  <c r="I149" i="60"/>
  <c r="J149" i="60"/>
  <c r="H169" i="60"/>
  <c r="I169" i="60"/>
  <c r="J169" i="60"/>
  <c r="H177" i="60"/>
  <c r="I177" i="60"/>
  <c r="J177" i="60"/>
  <c r="H7" i="60"/>
  <c r="I7" i="60"/>
  <c r="J7" i="60"/>
  <c r="H65" i="60"/>
  <c r="I65" i="60"/>
  <c r="J65" i="60"/>
  <c r="H69" i="60"/>
  <c r="I69" i="60"/>
  <c r="J69" i="60"/>
  <c r="H125" i="60"/>
  <c r="I125" i="60"/>
  <c r="J125" i="60"/>
  <c r="H126" i="60"/>
  <c r="I126" i="60"/>
  <c r="J126" i="60"/>
  <c r="H134" i="60"/>
  <c r="I134" i="60"/>
  <c r="J134" i="60"/>
  <c r="H135" i="60"/>
  <c r="I135" i="60"/>
  <c r="J135" i="60"/>
  <c r="H175" i="60"/>
  <c r="I175" i="60"/>
  <c r="J175" i="60"/>
  <c r="H176" i="60"/>
  <c r="I176" i="60"/>
  <c r="J176" i="60"/>
  <c r="K176" i="60" l="1"/>
  <c r="K126" i="60"/>
  <c r="K7" i="60"/>
  <c r="K148" i="60"/>
  <c r="K134" i="60"/>
  <c r="K65" i="60"/>
  <c r="K149" i="60"/>
  <c r="K22" i="60"/>
  <c r="K156" i="60"/>
  <c r="K104" i="60"/>
  <c r="K51" i="60"/>
  <c r="K88" i="60"/>
  <c r="K67" i="60"/>
  <c r="K12" i="60"/>
  <c r="K112" i="60"/>
  <c r="K96" i="60"/>
  <c r="K46" i="60"/>
  <c r="H5" i="44"/>
  <c r="H7" i="44"/>
  <c r="I10" i="44"/>
  <c r="I12" i="44"/>
  <c r="I13" i="44"/>
  <c r="I15" i="44"/>
  <c r="I17" i="44"/>
  <c r="H19" i="44"/>
  <c r="H21" i="44"/>
  <c r="H23" i="44"/>
  <c r="I26" i="44"/>
  <c r="I28" i="44"/>
  <c r="I29" i="44"/>
  <c r="I31" i="44"/>
  <c r="H33" i="44"/>
  <c r="H35" i="44"/>
  <c r="I38" i="44"/>
  <c r="H42" i="44"/>
  <c r="H44" i="44"/>
  <c r="H45" i="44"/>
  <c r="H47" i="44"/>
  <c r="H51" i="44"/>
  <c r="I5" i="44"/>
  <c r="I7" i="44"/>
  <c r="H9" i="44"/>
  <c r="H11" i="44"/>
  <c r="H14" i="44"/>
  <c r="H16" i="44"/>
  <c r="H18" i="44"/>
  <c r="I19" i="44"/>
  <c r="I21" i="44"/>
  <c r="I23" i="44"/>
  <c r="H25" i="44"/>
  <c r="H27" i="44"/>
  <c r="H30" i="44"/>
  <c r="H32" i="44"/>
  <c r="I33" i="44"/>
  <c r="I35" i="44"/>
  <c r="H37" i="44"/>
  <c r="H39" i="44"/>
  <c r="I40" i="44"/>
  <c r="I42" i="44"/>
  <c r="I44" i="44"/>
  <c r="I45" i="44"/>
  <c r="I47" i="44"/>
  <c r="I49" i="44"/>
  <c r="I51" i="44"/>
  <c r="H53" i="44"/>
  <c r="H41" i="44"/>
  <c r="H46" i="44"/>
  <c r="H50" i="44"/>
  <c r="I53" i="44"/>
  <c r="H6" i="44"/>
  <c r="H8" i="44"/>
  <c r="I9" i="44"/>
  <c r="I11" i="44"/>
  <c r="I14" i="44"/>
  <c r="I16" i="44"/>
  <c r="I18" i="44"/>
  <c r="H20" i="44"/>
  <c r="H22" i="44"/>
  <c r="H24" i="44"/>
  <c r="I25" i="44"/>
  <c r="I27" i="44"/>
  <c r="I30" i="44"/>
  <c r="I32" i="44"/>
  <c r="H34" i="44"/>
  <c r="H36" i="44"/>
  <c r="I37" i="44"/>
  <c r="I39" i="44"/>
  <c r="H43" i="44"/>
  <c r="H48" i="44"/>
  <c r="H52" i="44"/>
  <c r="I6" i="44"/>
  <c r="I8" i="44"/>
  <c r="H10" i="44"/>
  <c r="H12" i="44"/>
  <c r="H13" i="44"/>
  <c r="H15" i="44"/>
  <c r="H17" i="44"/>
  <c r="I20" i="44"/>
  <c r="I22" i="44"/>
  <c r="I24" i="44"/>
  <c r="H26" i="44"/>
  <c r="H28" i="44"/>
  <c r="H29" i="44"/>
  <c r="H31" i="44"/>
  <c r="I34" i="44"/>
  <c r="I36" i="44"/>
  <c r="H38" i="44"/>
  <c r="I41" i="44"/>
  <c r="I43" i="44"/>
  <c r="I46" i="44"/>
  <c r="I48" i="44"/>
  <c r="I50" i="44"/>
  <c r="I52" i="44"/>
  <c r="H40" i="44"/>
  <c r="H49" i="44"/>
  <c r="K21" i="60"/>
  <c r="K155" i="60"/>
  <c r="K97" i="60"/>
  <c r="K118" i="60"/>
  <c r="K87" i="60"/>
  <c r="K62" i="60"/>
  <c r="K10" i="60"/>
  <c r="K123" i="60"/>
  <c r="K95" i="60"/>
  <c r="K154" i="60"/>
  <c r="K124" i="60"/>
  <c r="K168" i="60"/>
  <c r="K24" i="60"/>
  <c r="K115" i="60"/>
  <c r="K91" i="60"/>
  <c r="K108" i="60"/>
  <c r="K80" i="60"/>
  <c r="M4" i="44"/>
  <c r="M2" i="44" s="1"/>
  <c r="Q4" i="44"/>
  <c r="Q2" i="44" s="1"/>
  <c r="W4" i="48"/>
  <c r="X2" i="48"/>
  <c r="O4" i="48"/>
  <c r="P4" i="48" s="1"/>
  <c r="L4" i="44"/>
  <c r="L2" i="44" s="1"/>
  <c r="K39" i="60"/>
  <c r="K25" i="60"/>
  <c r="K93" i="60"/>
  <c r="K175" i="60"/>
  <c r="K125" i="60"/>
  <c r="K177" i="60"/>
  <c r="K140" i="60"/>
  <c r="K158" i="60"/>
  <c r="K98" i="60"/>
  <c r="K54" i="60"/>
  <c r="K117" i="60"/>
  <c r="K86" i="60"/>
  <c r="K63" i="60"/>
  <c r="K145" i="60"/>
  <c r="K122" i="60"/>
  <c r="K58" i="60"/>
  <c r="K71" i="60"/>
  <c r="K64" i="60"/>
  <c r="K107" i="60"/>
  <c r="K18" i="60"/>
  <c r="K110" i="60"/>
  <c r="K70" i="60"/>
  <c r="K77" i="60"/>
  <c r="K164" i="60"/>
  <c r="K76" i="60"/>
  <c r="K81" i="60"/>
  <c r="K99" i="60"/>
  <c r="K127" i="60"/>
  <c r="K23" i="60"/>
  <c r="K141" i="60"/>
  <c r="K180" i="60"/>
  <c r="K82" i="60"/>
  <c r="K135" i="60"/>
  <c r="K69" i="60"/>
  <c r="K169" i="60"/>
  <c r="K133" i="60"/>
  <c r="K157" i="60"/>
  <c r="K68" i="60"/>
  <c r="K146" i="60"/>
  <c r="K89" i="60"/>
  <c r="K85" i="60"/>
  <c r="K48" i="60"/>
  <c r="K144" i="60"/>
  <c r="K121" i="60"/>
  <c r="K57" i="60"/>
  <c r="K38" i="60"/>
  <c r="K128" i="60"/>
  <c r="K56" i="60"/>
  <c r="K92" i="60"/>
  <c r="K173" i="60"/>
  <c r="K102" i="60"/>
  <c r="K181" i="60"/>
  <c r="K94" i="60"/>
  <c r="K159" i="60"/>
  <c r="K75" i="60"/>
  <c r="K174" i="60"/>
  <c r="K83" i="60"/>
  <c r="K59" i="60"/>
  <c r="K20" i="60"/>
  <c r="K43" i="60"/>
  <c r="K79" i="60"/>
  <c r="K167" i="60"/>
  <c r="K119" i="60"/>
  <c r="K74" i="60"/>
  <c r="K14" i="60"/>
  <c r="K163" i="60"/>
  <c r="K137" i="60"/>
  <c r="K73" i="60"/>
  <c r="K32" i="60"/>
  <c r="K178" i="60"/>
  <c r="K30" i="60"/>
  <c r="K161" i="60"/>
  <c r="K131" i="60"/>
  <c r="K27" i="60"/>
  <c r="K55" i="60"/>
  <c r="K52" i="60"/>
  <c r="R68" i="60"/>
  <c r="Q68" i="60"/>
  <c r="R48" i="60"/>
  <c r="Q48" i="60"/>
  <c r="R144" i="60"/>
  <c r="Q144" i="60"/>
  <c r="R64" i="60"/>
  <c r="Q64" i="60"/>
  <c r="R164" i="60"/>
  <c r="Q164" i="60"/>
  <c r="R76" i="60"/>
  <c r="Q76" i="60"/>
  <c r="R44" i="60"/>
  <c r="Q44" i="60"/>
  <c r="R60" i="60"/>
  <c r="Q60" i="60"/>
  <c r="R120" i="60"/>
  <c r="Q120" i="60"/>
  <c r="R28" i="60"/>
  <c r="Q28" i="60"/>
  <c r="I4" i="44"/>
  <c r="Q179" i="60"/>
  <c r="Q175" i="60"/>
  <c r="Q170" i="60"/>
  <c r="Q165" i="60"/>
  <c r="Q159" i="60"/>
  <c r="Q154" i="60"/>
  <c r="Q149" i="60"/>
  <c r="Q143" i="60"/>
  <c r="Q138" i="60"/>
  <c r="Q133" i="60"/>
  <c r="Q127" i="60"/>
  <c r="Q122" i="60"/>
  <c r="Q117" i="60"/>
  <c r="Q111" i="60"/>
  <c r="Q106" i="60"/>
  <c r="Q101" i="60"/>
  <c r="Q95" i="60"/>
  <c r="Q90" i="60"/>
  <c r="Q85" i="60"/>
  <c r="Q79" i="60"/>
  <c r="Q74" i="60"/>
  <c r="Q69" i="60"/>
  <c r="Q63" i="60"/>
  <c r="Q58" i="60"/>
  <c r="Q53" i="60"/>
  <c r="Q47" i="60"/>
  <c r="Q42" i="60"/>
  <c r="Q37" i="60"/>
  <c r="Q31" i="60"/>
  <c r="Q26" i="60"/>
  <c r="Q21" i="60"/>
  <c r="Q15" i="60"/>
  <c r="Q10" i="60"/>
  <c r="R180" i="60"/>
  <c r="R174" i="60"/>
  <c r="R166" i="60"/>
  <c r="R158" i="60"/>
  <c r="R150" i="60"/>
  <c r="R142" i="60"/>
  <c r="R134" i="60"/>
  <c r="R126" i="60"/>
  <c r="R118" i="60"/>
  <c r="R110" i="60"/>
  <c r="R102" i="60"/>
  <c r="R94" i="60"/>
  <c r="R86" i="60"/>
  <c r="R78" i="60"/>
  <c r="R70" i="60"/>
  <c r="R62" i="60"/>
  <c r="R54" i="60"/>
  <c r="R46" i="60"/>
  <c r="R38" i="60"/>
  <c r="R30" i="60"/>
  <c r="R22" i="60"/>
  <c r="R14" i="60"/>
  <c r="R156" i="60"/>
  <c r="Q156" i="60"/>
  <c r="R104" i="60"/>
  <c r="Q104" i="60"/>
  <c r="R88" i="60"/>
  <c r="Q88" i="60"/>
  <c r="R12" i="60"/>
  <c r="Q12" i="60"/>
  <c r="R112" i="60"/>
  <c r="Q112" i="60"/>
  <c r="R96" i="60"/>
  <c r="Q96" i="60"/>
  <c r="R128" i="60"/>
  <c r="Q128" i="60"/>
  <c r="R56" i="60"/>
  <c r="Q56" i="60"/>
  <c r="R92" i="60"/>
  <c r="Q92" i="60"/>
  <c r="R20" i="60"/>
  <c r="Q20" i="60"/>
  <c r="R32" i="60"/>
  <c r="Q32" i="60"/>
  <c r="R27" i="60"/>
  <c r="R52" i="60"/>
  <c r="Q52" i="60"/>
  <c r="Q178" i="60"/>
  <c r="Q169" i="60"/>
  <c r="Q163" i="60"/>
  <c r="Q153" i="60"/>
  <c r="Q147" i="60"/>
  <c r="Q137" i="60"/>
  <c r="Q131" i="60"/>
  <c r="Q121" i="60"/>
  <c r="Q115" i="60"/>
  <c r="Q105" i="60"/>
  <c r="Q99" i="60"/>
  <c r="Q89" i="60"/>
  <c r="Q83" i="60"/>
  <c r="Q73" i="60"/>
  <c r="Q67" i="60"/>
  <c r="Q57" i="60"/>
  <c r="Q51" i="60"/>
  <c r="Q41" i="60"/>
  <c r="Q35" i="60"/>
  <c r="Q25" i="60"/>
  <c r="Q19" i="60"/>
  <c r="Q9" i="60"/>
  <c r="J4" i="44" s="1"/>
  <c r="R4" i="44" s="1"/>
  <c r="R173" i="60"/>
  <c r="R157" i="60"/>
  <c r="R141" i="60"/>
  <c r="R125" i="60"/>
  <c r="R109" i="60"/>
  <c r="R93" i="60"/>
  <c r="R77" i="60"/>
  <c r="R61" i="60"/>
  <c r="R45" i="60"/>
  <c r="R29" i="60"/>
  <c r="R13" i="60"/>
  <c r="R148" i="60"/>
  <c r="Q148" i="60"/>
  <c r="R152" i="60"/>
  <c r="Q152" i="60"/>
  <c r="R72" i="60"/>
  <c r="Q72" i="60"/>
  <c r="R172" i="60"/>
  <c r="Q172" i="60"/>
  <c r="R36" i="60"/>
  <c r="Q36" i="60"/>
  <c r="R116" i="60"/>
  <c r="Q116" i="60"/>
  <c r="R8" i="60"/>
  <c r="Q8" i="60"/>
  <c r="R136" i="60"/>
  <c r="Q136" i="60"/>
  <c r="R132" i="60"/>
  <c r="Q132" i="60"/>
  <c r="Q181" i="60"/>
  <c r="Q177" i="60"/>
  <c r="Q167" i="60"/>
  <c r="Q162" i="60"/>
  <c r="Q151" i="60"/>
  <c r="Q146" i="60"/>
  <c r="Q135" i="60"/>
  <c r="Q130" i="60"/>
  <c r="Q119" i="60"/>
  <c r="Q114" i="60"/>
  <c r="Q103" i="60"/>
  <c r="Q98" i="60"/>
  <c r="Q87" i="60"/>
  <c r="Q82" i="60"/>
  <c r="Q71" i="60"/>
  <c r="Q66" i="60"/>
  <c r="Q55" i="60"/>
  <c r="Q50" i="60"/>
  <c r="Q39" i="60"/>
  <c r="Q34" i="60"/>
  <c r="Q23" i="60"/>
  <c r="Q18" i="60"/>
  <c r="R140" i="60"/>
  <c r="Q140" i="60"/>
  <c r="R124" i="60"/>
  <c r="Q124" i="60"/>
  <c r="R168" i="60"/>
  <c r="Q168" i="60"/>
  <c r="R24" i="60"/>
  <c r="Q24" i="60"/>
  <c r="R108" i="60"/>
  <c r="Q108" i="60"/>
  <c r="R80" i="60"/>
  <c r="Q80" i="60"/>
  <c r="R160" i="60"/>
  <c r="Q160" i="60"/>
  <c r="R100" i="60"/>
  <c r="Q100" i="60"/>
  <c r="R40" i="60"/>
  <c r="Q40" i="60"/>
  <c r="R84" i="60"/>
  <c r="Q84" i="60"/>
  <c r="R16" i="60"/>
  <c r="Q16" i="60"/>
  <c r="H4" i="44"/>
  <c r="Q176" i="60"/>
  <c r="Q171" i="60"/>
  <c r="Q161" i="60"/>
  <c r="Q155" i="60"/>
  <c r="Q145" i="60"/>
  <c r="Q139" i="60"/>
  <c r="Q129" i="60"/>
  <c r="Q123" i="60"/>
  <c r="Q113" i="60"/>
  <c r="Q107" i="60"/>
  <c r="Q97" i="60"/>
  <c r="Q91" i="60"/>
  <c r="Q81" i="60"/>
  <c r="Q75" i="60"/>
  <c r="Q65" i="60"/>
  <c r="Q59" i="60"/>
  <c r="Q49" i="60"/>
  <c r="Q43" i="60"/>
  <c r="Q33" i="60"/>
  <c r="Q27" i="60"/>
  <c r="Q17" i="60"/>
  <c r="Q11" i="60"/>
  <c r="K152" i="60"/>
  <c r="K72" i="60"/>
  <c r="K50" i="60"/>
  <c r="K172" i="60"/>
  <c r="K11" i="60"/>
  <c r="K36" i="60"/>
  <c r="K153" i="60"/>
  <c r="K116" i="60"/>
  <c r="K49" i="60"/>
  <c r="K8" i="60"/>
  <c r="K162" i="60"/>
  <c r="K136" i="60"/>
  <c r="K41" i="60"/>
  <c r="K31" i="60"/>
  <c r="K109" i="60"/>
  <c r="K29" i="60"/>
  <c r="K143" i="60"/>
  <c r="K101" i="60"/>
  <c r="K9" i="60"/>
  <c r="K132" i="60"/>
  <c r="K47" i="60"/>
  <c r="K44" i="60"/>
  <c r="K113" i="60"/>
  <c r="K60" i="60"/>
  <c r="K34" i="60"/>
  <c r="K90" i="60"/>
  <c r="K111" i="60"/>
  <c r="K170" i="60"/>
  <c r="K150" i="60"/>
  <c r="K105" i="60"/>
  <c r="K19" i="60"/>
  <c r="K165" i="60"/>
  <c r="K147" i="60"/>
  <c r="K78" i="60"/>
  <c r="K33" i="60"/>
  <c r="K17" i="60"/>
  <c r="K42" i="60"/>
  <c r="K120" i="60"/>
  <c r="K139" i="60"/>
  <c r="K28" i="60"/>
  <c r="K129" i="60"/>
  <c r="K53" i="60"/>
  <c r="K45" i="60"/>
  <c r="K114" i="60"/>
  <c r="K61" i="60"/>
  <c r="K35" i="60"/>
  <c r="K138" i="60"/>
  <c r="K179" i="60"/>
  <c r="K171" i="60"/>
  <c r="K151" i="60"/>
  <c r="K106" i="60"/>
  <c r="K37" i="60"/>
  <c r="K166" i="60"/>
  <c r="K160" i="60"/>
  <c r="K100" i="60"/>
  <c r="K40" i="60"/>
  <c r="K26" i="60"/>
  <c r="K84" i="60"/>
  <c r="K13" i="60"/>
  <c r="K142" i="60"/>
  <c r="K66" i="60"/>
  <c r="K130" i="60"/>
  <c r="K103" i="60"/>
  <c r="K16" i="60"/>
  <c r="G1" i="58"/>
  <c r="R2" i="44" l="1"/>
  <c r="Q4" i="48"/>
  <c r="S4" i="44"/>
  <c r="S2" i="44" s="1"/>
  <c r="F16" i="47" s="1"/>
  <c r="Y4" i="48"/>
  <c r="W2" i="48"/>
  <c r="B34" i="57" l="1"/>
  <c r="B32" i="57" l="1"/>
  <c r="B33" i="57"/>
  <c r="J2" i="56"/>
  <c r="F2" i="56"/>
  <c r="C18" i="57" s="1"/>
  <c r="K14" i="56"/>
  <c r="H14" i="56"/>
  <c r="I14" i="56" s="1"/>
  <c r="K15" i="56"/>
  <c r="H15" i="56"/>
  <c r="I15" i="56" s="1"/>
  <c r="K16" i="56"/>
  <c r="H16" i="56"/>
  <c r="I16" i="56" s="1"/>
  <c r="K17" i="56"/>
  <c r="H17" i="56"/>
  <c r="I17" i="56" s="1"/>
  <c r="K18" i="56"/>
  <c r="H18" i="56"/>
  <c r="I18" i="56" s="1"/>
  <c r="K19" i="56"/>
  <c r="H19" i="56"/>
  <c r="I19" i="56" s="1"/>
  <c r="K20" i="56"/>
  <c r="H20" i="56"/>
  <c r="I20" i="56" s="1"/>
  <c r="K21" i="56"/>
  <c r="H21" i="56"/>
  <c r="I21" i="56" s="1"/>
  <c r="K22" i="56"/>
  <c r="H22" i="56"/>
  <c r="I22" i="56" s="1"/>
  <c r="K23" i="56"/>
  <c r="H23" i="56"/>
  <c r="I23" i="56" s="1"/>
  <c r="R2" i="48"/>
  <c r="K2" i="48"/>
  <c r="J2" i="48"/>
  <c r="P19" i="48"/>
  <c r="Q20" i="48"/>
  <c r="P20" i="48"/>
  <c r="Q21" i="48"/>
  <c r="P21" i="48"/>
  <c r="Q22" i="48"/>
  <c r="P22" i="48"/>
  <c r="Q23" i="48"/>
  <c r="P23" i="48"/>
  <c r="Q24" i="48"/>
  <c r="P24" i="48"/>
  <c r="Q25" i="48"/>
  <c r="P25" i="48"/>
  <c r="Q26" i="48"/>
  <c r="P26" i="48"/>
  <c r="Q27" i="48"/>
  <c r="Q28" i="48"/>
  <c r="P28" i="48"/>
  <c r="Q29" i="48"/>
  <c r="Q30" i="48"/>
  <c r="P30" i="48"/>
  <c r="Q31" i="48"/>
  <c r="Q32" i="48"/>
  <c r="Q33" i="48"/>
  <c r="Q34" i="48"/>
  <c r="Q35" i="48"/>
  <c r="Q36" i="48"/>
  <c r="Q37" i="48"/>
  <c r="Q38" i="48"/>
  <c r="Q39" i="48"/>
  <c r="Q40" i="48"/>
  <c r="Q41" i="48"/>
  <c r="Q42" i="48"/>
  <c r="Q43" i="48"/>
  <c r="Q44" i="48"/>
  <c r="Q45" i="48"/>
  <c r="Q46" i="48"/>
  <c r="Q47" i="48"/>
  <c r="Q48" i="48"/>
  <c r="Q49" i="48"/>
  <c r="Q50" i="48"/>
  <c r="Q51" i="48"/>
  <c r="Q52" i="48"/>
  <c r="Q53" i="48"/>
  <c r="Q14" i="48"/>
  <c r="Q15" i="48"/>
  <c r="Q16" i="48"/>
  <c r="Q17" i="48"/>
  <c r="Q18" i="48"/>
  <c r="C17" i="57" l="1"/>
  <c r="B26" i="57" s="1"/>
  <c r="B27" i="57"/>
  <c r="P17" i="48"/>
  <c r="P15" i="48"/>
  <c r="P52" i="48"/>
  <c r="P50" i="48"/>
  <c r="P48" i="48"/>
  <c r="P46" i="48"/>
  <c r="P44" i="48"/>
  <c r="P42" i="48"/>
  <c r="P40" i="48"/>
  <c r="P38" i="48"/>
  <c r="P36" i="48"/>
  <c r="P34" i="48"/>
  <c r="P32" i="48"/>
  <c r="P18" i="48"/>
  <c r="P16" i="48"/>
  <c r="P14" i="48"/>
  <c r="P53" i="48"/>
  <c r="P51" i="48"/>
  <c r="P49" i="48"/>
  <c r="P47" i="48"/>
  <c r="P45" i="48"/>
  <c r="P43" i="48"/>
  <c r="P41" i="48"/>
  <c r="P39" i="48"/>
  <c r="P37" i="48"/>
  <c r="P35" i="48"/>
  <c r="P33" i="48"/>
  <c r="P31" i="48"/>
  <c r="P29" i="48"/>
  <c r="P27" i="48"/>
  <c r="C9" i="57"/>
  <c r="Q19" i="48"/>
  <c r="B28" i="57" l="1"/>
  <c r="C19" i="57"/>
  <c r="K9" i="56"/>
  <c r="K10" i="56"/>
  <c r="H10" i="56"/>
  <c r="I10" i="56" s="1"/>
  <c r="K11" i="56"/>
  <c r="K12" i="56"/>
  <c r="H12" i="56"/>
  <c r="I12" i="56" s="1"/>
  <c r="K13" i="56"/>
  <c r="H7" i="56"/>
  <c r="I7" i="56" s="1"/>
  <c r="H8" i="56"/>
  <c r="I8" i="56" s="1"/>
  <c r="P5" i="48"/>
  <c r="P6" i="48"/>
  <c r="P7" i="48"/>
  <c r="P8" i="48"/>
  <c r="P9" i="48"/>
  <c r="P10" i="48"/>
  <c r="P11" i="48"/>
  <c r="P12" i="48"/>
  <c r="P13" i="48"/>
  <c r="C16" i="57" l="1"/>
  <c r="C20" i="57" s="1"/>
  <c r="Q12" i="48"/>
  <c r="Q10" i="48"/>
  <c r="Q9" i="48"/>
  <c r="Q8" i="48"/>
  <c r="Q7" i="48"/>
  <c r="Q6" i="48"/>
  <c r="Q13" i="48"/>
  <c r="Q11" i="48"/>
  <c r="H13" i="56"/>
  <c r="I13" i="56" s="1"/>
  <c r="H11" i="56"/>
  <c r="I11" i="56" s="1"/>
  <c r="H9" i="56"/>
  <c r="I9" i="56" s="1"/>
  <c r="K8" i="56"/>
  <c r="K7" i="56"/>
  <c r="Q5" i="48"/>
  <c r="E18" i="47"/>
  <c r="K6" i="56"/>
  <c r="H6" i="56"/>
  <c r="I6" i="56" s="1"/>
  <c r="H5" i="56"/>
  <c r="I5" i="56" s="1"/>
  <c r="H4" i="56"/>
  <c r="C18" i="47"/>
  <c r="H2" i="56" l="1"/>
  <c r="K5" i="56"/>
  <c r="K4" i="56"/>
  <c r="I4" i="56"/>
  <c r="I2" i="56" l="1"/>
  <c r="K2" i="56"/>
  <c r="F18" i="47" s="1"/>
  <c r="E19" i="47"/>
  <c r="E17" i="47"/>
  <c r="D18" i="47" l="1"/>
  <c r="D18" i="57"/>
  <c r="Y2" i="48"/>
  <c r="F17" i="47" s="1"/>
  <c r="E16" i="47"/>
  <c r="E20" i="47" s="1"/>
  <c r="H4" i="2" l="1"/>
  <c r="I4" i="2" s="1"/>
  <c r="J4" i="2"/>
  <c r="K4" i="2"/>
  <c r="N4" i="2" l="1"/>
  <c r="Q4" i="2"/>
  <c r="Q2" i="2" s="1"/>
  <c r="F19" i="47" s="1"/>
  <c r="L4" i="2"/>
  <c r="O4" i="2" l="1"/>
  <c r="O2" i="2" s="1"/>
  <c r="N2" i="2"/>
  <c r="Q2" i="48" l="1"/>
  <c r="D17" i="57" s="1"/>
  <c r="P2" i="48" l="1"/>
  <c r="F20" i="47" l="1"/>
  <c r="D17" i="47" l="1"/>
  <c r="C13" i="47" l="1"/>
  <c r="C12" i="47"/>
  <c r="C10" i="47"/>
  <c r="C11" i="47"/>
  <c r="E35" i="47"/>
  <c r="C8" i="47"/>
  <c r="C7" i="47"/>
  <c r="E34" i="47" l="1"/>
  <c r="E33" i="47"/>
  <c r="C9" i="47" l="1"/>
  <c r="D16" i="47" l="1"/>
  <c r="D16" i="57"/>
  <c r="C17" i="47" l="1"/>
  <c r="AH52" i="46" l="1"/>
  <c r="C16" i="47"/>
  <c r="C19" i="47" l="1"/>
  <c r="C20" i="47" l="1"/>
  <c r="D19" i="57" l="1"/>
  <c r="D20" i="57" s="1"/>
  <c r="D19" i="47" l="1"/>
  <c r="D20" i="47" s="1"/>
  <c r="F21" i="47" s="1"/>
  <c r="G21" i="69" l="1"/>
  <c r="H21" i="69" s="1"/>
  <c r="H23" i="69" l="1"/>
  <c r="H22" i="69"/>
</calcChain>
</file>

<file path=xl/comments1.xml><?xml version="1.0" encoding="utf-8"?>
<comments xmlns="http://schemas.openxmlformats.org/spreadsheetml/2006/main">
  <authors>
    <author>Szerző</author>
  </authors>
  <commentList>
    <comment ref="C16" authorId="0" shapeId="0">
      <text>
        <r>
          <rPr>
            <b/>
            <sz val="9"/>
            <color indexed="81"/>
            <rFont val="Tahoma"/>
            <family val="2"/>
            <charset val="238"/>
          </rPr>
          <t>Ezeket az adatokat egy külön lementett adatbázisból kell majd itt megjeleníteni, mivel az elszámoláskor egyébként az alapadatok és így a számított előleg összege is változhat, de az egyenlegrendezést a ténylegesen biztosított előleghez képest kell megtenni.</t>
        </r>
      </text>
    </comment>
  </commentList>
</comments>
</file>

<file path=xl/comments2.xml><?xml version="1.0" encoding="utf-8"?>
<comments xmlns="http://schemas.openxmlformats.org/spreadsheetml/2006/main">
  <authors>
    <author>Szerző</author>
  </authors>
  <commentList>
    <comment ref="C16" authorId="0" shapeId="0">
      <text>
        <r>
          <rPr>
            <b/>
            <sz val="9"/>
            <color indexed="81"/>
            <rFont val="Tahoma"/>
            <family val="2"/>
            <charset val="238"/>
          </rPr>
          <t>Ezeket az adatokat egy külön lementett adatbázisból kell majd itt megjeleníteni, mivel az elszámoláskor egyébként az alapadatok és így a számított előleg összege is változhat, de az egyenlegrendezést a ténylegesen biztosított előleghez képest kell megtenni.</t>
        </r>
      </text>
    </comment>
  </commentList>
</comments>
</file>

<file path=xl/sharedStrings.xml><?xml version="1.0" encoding="utf-8"?>
<sst xmlns="http://schemas.openxmlformats.org/spreadsheetml/2006/main" count="11800" uniqueCount="3780">
  <si>
    <t>Budapest</t>
  </si>
  <si>
    <t>Csongrád</t>
  </si>
  <si>
    <t>Veszprém</t>
  </si>
  <si>
    <t>Bajai_SZC</t>
  </si>
  <si>
    <t>Békéscsabai_SZC</t>
  </si>
  <si>
    <t>Berettyóújfalui_SZC</t>
  </si>
  <si>
    <t>Budapesti_Gazdasági_SZC</t>
  </si>
  <si>
    <t>Budapesti_Gépészeti_SZC</t>
  </si>
  <si>
    <t>Budapesti_Komplex_SZC</t>
  </si>
  <si>
    <t>Budapesti_Műszaki_SZC</t>
  </si>
  <si>
    <t>Ceglédi_SZC</t>
  </si>
  <si>
    <t>Debreceni_SZC</t>
  </si>
  <si>
    <t>Dunaújvárosi_SZC</t>
  </si>
  <si>
    <t>Érdi_SZC</t>
  </si>
  <si>
    <t>Gyulai_SZC</t>
  </si>
  <si>
    <t>Hódmezővásárhelyi_SZC</t>
  </si>
  <si>
    <t>Kaposvári_SZC</t>
  </si>
  <si>
    <t>Karcagi_SZC</t>
  </si>
  <si>
    <t>Kecskeméti_SZC</t>
  </si>
  <si>
    <t>Kiskunhalasi_SZC</t>
  </si>
  <si>
    <t>Kisvárdai_SZC</t>
  </si>
  <si>
    <t>Mátészalkai_SZC</t>
  </si>
  <si>
    <t>Miskolci_SZC</t>
  </si>
  <si>
    <t>Nagykanizsai_SZC</t>
  </si>
  <si>
    <t>Nyíregyházi_SZC</t>
  </si>
  <si>
    <t>Ózdi_SZC</t>
  </si>
  <si>
    <t>Pápai_SZC</t>
  </si>
  <si>
    <t>Siófoki_SZC</t>
  </si>
  <si>
    <t>Soproni_SZC</t>
  </si>
  <si>
    <t>Szegedi_SZC</t>
  </si>
  <si>
    <t>Székesfehérvári_SZC</t>
  </si>
  <si>
    <t>Szerencsi_SZC</t>
  </si>
  <si>
    <t>Tatabányai_SZC</t>
  </si>
  <si>
    <t>Váci_SZC</t>
  </si>
  <si>
    <t>Veszprémi_SZC</t>
  </si>
  <si>
    <t>Zalaegerszegi_SZC</t>
  </si>
  <si>
    <t>Képzés_kezdete</t>
  </si>
  <si>
    <t>_2016_2017_ősz</t>
  </si>
  <si>
    <t>_2017_2018_ősz</t>
  </si>
  <si>
    <t>Egyéb_képzés_típusa</t>
  </si>
  <si>
    <t>Egyéb_képzés_kezdete</t>
  </si>
  <si>
    <t>Abroncsgyártó</t>
  </si>
  <si>
    <t>Ács</t>
  </si>
  <si>
    <t>Felnőttoktatás 5-8. évfolyam számára</t>
  </si>
  <si>
    <t>Agrár áruforgalmazó szaktechnikus</t>
  </si>
  <si>
    <t>Államháztartási ügyintéző</t>
  </si>
  <si>
    <t>Államháztartási mérlegképes könyvelő</t>
  </si>
  <si>
    <t>Állattartó szakmunkás</t>
  </si>
  <si>
    <t>Állattenyésztő és állategészségügyi technikus</t>
  </si>
  <si>
    <t>Ápoló</t>
  </si>
  <si>
    <t>Aranyműves</t>
  </si>
  <si>
    <t>Alternatív gépjárműhajtási technikus</t>
  </si>
  <si>
    <t>Asztalos</t>
  </si>
  <si>
    <t>Audio- és vizuáltechnikai műszerész</t>
  </si>
  <si>
    <t>Autóelektronikai műszerész</t>
  </si>
  <si>
    <t>Artista I. (a szakmairány megnevezésével)</t>
  </si>
  <si>
    <t>Autógyártó</t>
  </si>
  <si>
    <t>Artista II. (a szakmairány megnevezésével)</t>
  </si>
  <si>
    <t>Automatikai technikus</t>
  </si>
  <si>
    <t>Autószerelő</t>
  </si>
  <si>
    <t>Autótechnikus</t>
  </si>
  <si>
    <t>Audiológiai asszisztens és hallásakusztikus</t>
  </si>
  <si>
    <t>Avionikus</t>
  </si>
  <si>
    <t>Autóbuszvezető</t>
  </si>
  <si>
    <t>Bádogos</t>
  </si>
  <si>
    <t>Belovagló</t>
  </si>
  <si>
    <t>Automatikai berendezés karbantartó</t>
  </si>
  <si>
    <t>Biogazdálkodó</t>
  </si>
  <si>
    <t>Bor- és pezsgőgyártó szaktechnikus</t>
  </si>
  <si>
    <t>Bőrdíszműves</t>
  </si>
  <si>
    <t>Bőrfeldolgozó-ipari technikus</t>
  </si>
  <si>
    <t>Bronzműves és szoboröntő</t>
  </si>
  <si>
    <t>CAD-CAM informatikus</t>
  </si>
  <si>
    <t>Bányaművelő</t>
  </si>
  <si>
    <t>Cipőkészítő</t>
  </si>
  <si>
    <t>Bányaművelő technikus</t>
  </si>
  <si>
    <t>CNC gépkezelő</t>
  </si>
  <si>
    <t>Cukor- és édesipari szaktechnikus</t>
  </si>
  <si>
    <t>Beszédátviteli rendszerüzemeltető technikus</t>
  </si>
  <si>
    <t>Cukrász</t>
  </si>
  <si>
    <t>Csecsemő és gyermekápoló</t>
  </si>
  <si>
    <t>Dekoratőr</t>
  </si>
  <si>
    <t>Diétás szakács</t>
  </si>
  <si>
    <t>Díszítő festő</t>
  </si>
  <si>
    <t>Díszlettervező</t>
  </si>
  <si>
    <t>Burkoló</t>
  </si>
  <si>
    <t>Díszműkovács</t>
  </si>
  <si>
    <t>Dísznövénykertész</t>
  </si>
  <si>
    <t>Divat- és stílustervező</t>
  </si>
  <si>
    <t>Drog- és toxikológiai technikus</t>
  </si>
  <si>
    <t>Édesipari termékgyártó</t>
  </si>
  <si>
    <t>Családi gazdálkodó</t>
  </si>
  <si>
    <t>Eladó</t>
  </si>
  <si>
    <t>Demencia gondozó</t>
  </si>
  <si>
    <t>Elektromechanikai műszerész</t>
  </si>
  <si>
    <t>Elektromos gép- és készülékszerelő</t>
  </si>
  <si>
    <t>Elektronikai műszerész</t>
  </si>
  <si>
    <t>Elektronikai technikus</t>
  </si>
  <si>
    <t>Élelmiszeripari analitikus technikus</t>
  </si>
  <si>
    <t>Élelmiszeripari gépésztechnikus</t>
  </si>
  <si>
    <t>Élelmiszeripari technikus</t>
  </si>
  <si>
    <t>Épület- és szerkezetlakatos</t>
  </si>
  <si>
    <t>Egyéb szervezeti mérlegképes könyvelő</t>
  </si>
  <si>
    <t>Épületgépész technikus</t>
  </si>
  <si>
    <t>Egyházzenész I. (a szakmairány megjelölésével)</t>
  </si>
  <si>
    <t>Egyházzenész II. (a szakmairány megjelölésével)</t>
  </si>
  <si>
    <t>Erdészeti gépésztechnikus</t>
  </si>
  <si>
    <t>Erdészeti szakmunkás</t>
  </si>
  <si>
    <t>Erjedés- és üdítőitalipari szaktechnikus</t>
  </si>
  <si>
    <t>Erősáramú elektrotechnikus</t>
  </si>
  <si>
    <t>Faipari technikus</t>
  </si>
  <si>
    <t>Fegyverműszerész</t>
  </si>
  <si>
    <t>Elektronikus hozzáférési és magánhálózati rendszerüzemeltető technikus</t>
  </si>
  <si>
    <t>Fehérnemű-készítő és kötöttáru összeállító</t>
  </si>
  <si>
    <t>Elektronikus műsorközlő és tartalomátviteli rendszerüzemeltető technikus</t>
  </si>
  <si>
    <t>Férfiszabó</t>
  </si>
  <si>
    <t>Festő</t>
  </si>
  <si>
    <t>Festő, mázoló, tapétázó</t>
  </si>
  <si>
    <t>Finommechanikai műszerész</t>
  </si>
  <si>
    <t>Építő- szállító- és munkagép-szerelő</t>
  </si>
  <si>
    <t>Fitness-wellness instruktor</t>
  </si>
  <si>
    <t>Fluidumkitermelő technikus</t>
  </si>
  <si>
    <t>Fodrász</t>
  </si>
  <si>
    <t>Fogászati asszisztens</t>
  </si>
  <si>
    <t>Foglalkozás-szervező</t>
  </si>
  <si>
    <t>Erdésztechnikus</t>
  </si>
  <si>
    <t>Fogtechnikus</t>
  </si>
  <si>
    <t>Ergoterapeuta</t>
  </si>
  <si>
    <t>Fogtechnikus gyakornok</t>
  </si>
  <si>
    <t>Formacikk-gyártó</t>
  </si>
  <si>
    <t>Erjedés- és üdítőital-ipari termékgyártó</t>
  </si>
  <si>
    <t>Fotográfus és fotótermék-kereskedő</t>
  </si>
  <si>
    <t>Földmérő, földügyi és térinformatikai technikus</t>
  </si>
  <si>
    <t>Ezüstműves</t>
  </si>
  <si>
    <t>Gáz- és hőtermelő berendezés-szerelő</t>
  </si>
  <si>
    <t>Gazda</t>
  </si>
  <si>
    <t>Gazdasági informatikus</t>
  </si>
  <si>
    <t>Gépgyártástechnológiai technikus</t>
  </si>
  <si>
    <t>Gépi forgácsoló</t>
  </si>
  <si>
    <t>Gépjármű mechatronikus</t>
  </si>
  <si>
    <t>Gépjármű-építési, szerelési logisztikus</t>
  </si>
  <si>
    <t>Gépjárműépítő, szerelő</t>
  </si>
  <si>
    <t>Gerontológiai gondozó</t>
  </si>
  <si>
    <t>Fizioterápiás asszisztens</t>
  </si>
  <si>
    <t>Grafikus</t>
  </si>
  <si>
    <t>Gumiipari technikus</t>
  </si>
  <si>
    <t>Gyakorlatos színész (a szakmairány megjelölésével)</t>
  </si>
  <si>
    <t>Fogadós</t>
  </si>
  <si>
    <t>Gyakorló ápoló</t>
  </si>
  <si>
    <t>Gyakorló csecsemő- és gyermekápoló</t>
  </si>
  <si>
    <t>Gyakorló klinikai laboratóriumi asszisztens</t>
  </si>
  <si>
    <t>Gyakorló mentőápoló</t>
  </si>
  <si>
    <t>Gyakorló szövettani asszisztens</t>
  </si>
  <si>
    <t>Gyártósori gépbeállító</t>
  </si>
  <si>
    <t>Gázipari technikus</t>
  </si>
  <si>
    <t>Gyermekotthoni asszisztens</t>
  </si>
  <si>
    <t>Gyógy- és fűszernövénytermesztő</t>
  </si>
  <si>
    <t>Gyógypedagógiai segítő munkatárs</t>
  </si>
  <si>
    <t>Gyógyszertári asszisztens</t>
  </si>
  <si>
    <t>Gerinchálózati rendszerüzemeltető technikus</t>
  </si>
  <si>
    <t>Hajózási technikus</t>
  </si>
  <si>
    <t>Halász, haltenyésztő</t>
  </si>
  <si>
    <t>Hangmester</t>
  </si>
  <si>
    <t>Hegesztő</t>
  </si>
  <si>
    <t>Hídépítő és -fenntartó technikus</t>
  </si>
  <si>
    <t>Gyakorló hangszerkészítő és -javító (a hangszercsoport megjelölésével)</t>
  </si>
  <si>
    <t>Hulladékgazdálkodó szaktechnikus</t>
  </si>
  <si>
    <t>Hús- és baromfiipari szaktechnikus</t>
  </si>
  <si>
    <t>Húsipari termékgyártó</t>
  </si>
  <si>
    <t>Hűtő- és légtechnikai rendszerszerelő</t>
  </si>
  <si>
    <t>Hűtő-, klíma- és hőszivattyú berendezés-szerelő</t>
  </si>
  <si>
    <t>Idegenvezető</t>
  </si>
  <si>
    <t>Gyógymasszőr</t>
  </si>
  <si>
    <t>Infokommunikációs hálózatépítő és üzemeltető</t>
  </si>
  <si>
    <t>Gyógyszeripari szaktechnikus</t>
  </si>
  <si>
    <t>Ipari gépész</t>
  </si>
  <si>
    <t>Gyógyszerkészítmény-gyártó</t>
  </si>
  <si>
    <t>Ipari gumitermék előállító</t>
  </si>
  <si>
    <t>Hajós szakmunkás</t>
  </si>
  <si>
    <t>IT mentor</t>
  </si>
  <si>
    <t>Járműfényező</t>
  </si>
  <si>
    <t>Járműipari fémalkatrész-gyártó</t>
  </si>
  <si>
    <t>Járműkarosszéria előkészítő, felületbevonó</t>
  </si>
  <si>
    <t>Hangszerkészítő és -javító (a hangszercsoport megjelölésével)</t>
  </si>
  <si>
    <t>Járműkarosszéria készítő, szerelő</t>
  </si>
  <si>
    <t>Hangtárvezető</t>
  </si>
  <si>
    <t>Háztartási gépszervíz szaktechnikus</t>
  </si>
  <si>
    <t>Jelmeztervező</t>
  </si>
  <si>
    <t>Karosszérialakatos</t>
  </si>
  <si>
    <t>Honvéd altiszt (az ágazat/szakmairány megjelölésével)</t>
  </si>
  <si>
    <t>Kárpitos</t>
  </si>
  <si>
    <t>Honvéd zászlós (az ágazat/szakmairány megjelölésével)</t>
  </si>
  <si>
    <t>Kerámia, porcelán készítő (a szakmairány megjelölésével)</t>
  </si>
  <si>
    <t>Kerámiaműves</t>
  </si>
  <si>
    <t>Kereskedő</t>
  </si>
  <si>
    <t>Kertész</t>
  </si>
  <si>
    <t>Kertészeti szaktechnikus</t>
  </si>
  <si>
    <t>Idegennyelvű ipari és kereskedelmi ügyintéző</t>
  </si>
  <si>
    <t>Kisgyermekgondozó, -nevelő</t>
  </si>
  <si>
    <t>Kishajóépítő, -karbantartó</t>
  </si>
  <si>
    <t>Információrendszer-szervező</t>
  </si>
  <si>
    <t>Informatikai rendszerüzemeltető</t>
  </si>
  <si>
    <t>Klinikai fogászati higiénikus</t>
  </si>
  <si>
    <t>Kohászati technikus</t>
  </si>
  <si>
    <t>Irodai titkár</t>
  </si>
  <si>
    <t>Korrektor</t>
  </si>
  <si>
    <t>Kozmetikus</t>
  </si>
  <si>
    <t>Járműipari karbantartó technikus</t>
  </si>
  <si>
    <t>Környezetvédelmi technikus</t>
  </si>
  <si>
    <t>Környezetvédelmi-mérés szaktechnikus</t>
  </si>
  <si>
    <t>Jazz-zenész I. (a szakmairány megjelölésével)</t>
  </si>
  <si>
    <t>Közlekedésautomatikai műszerész</t>
  </si>
  <si>
    <t>Jazz-zenész II. (a szakmairány megjelölésével)</t>
  </si>
  <si>
    <t>Központifűtés- és gázhálózat rendszerszerelő</t>
  </si>
  <si>
    <t>Jegyvizsgáló</t>
  </si>
  <si>
    <t>Közúti közlekedésüzemvitel-ellátó</t>
  </si>
  <si>
    <t>Kardiológiai és angiológiai asszisztens</t>
  </si>
  <si>
    <t>Légi közlekedésüzemvitel-ellátó</t>
  </si>
  <si>
    <t>Létesítményi energetikus</t>
  </si>
  <si>
    <t>Kereskedelmi képviselő</t>
  </si>
  <si>
    <t>Lovász</t>
  </si>
  <si>
    <t>Magasépítő technikus</t>
  </si>
  <si>
    <t>Malom- és keveréktakarmány-ipari szaktechnikus</t>
  </si>
  <si>
    <t>Kiadványszerkesztő technikus</t>
  </si>
  <si>
    <t>Kis- és középvállalkozások ügyvezetője I</t>
  </si>
  <si>
    <t>Mechatronikai technikus</t>
  </si>
  <si>
    <t>Kis- és középvállalkozások ügyvezetője II</t>
  </si>
  <si>
    <t>Mechatronikus-karbantartó</t>
  </si>
  <si>
    <t>Mélyépítő technikus</t>
  </si>
  <si>
    <t>Mentálhigiénés asszisztens</t>
  </si>
  <si>
    <t>Kistermelői élelmiszerelőállító, falusi vendéglátó</t>
  </si>
  <si>
    <t>Mentőápoló</t>
  </si>
  <si>
    <t>Klasszikus zenész I. (a szakmairány megnevezésével)</t>
  </si>
  <si>
    <t>Klasszikus zenész II. (a szakmairány megnevezésével)</t>
  </si>
  <si>
    <t>Mezőgazdasági gépész</t>
  </si>
  <si>
    <t>Mezőgazdasági gépésztechnikus</t>
  </si>
  <si>
    <t>Klinikai laboratóriumi szakasszisztens</t>
  </si>
  <si>
    <t>Mezőgazdasági gépjavító</t>
  </si>
  <si>
    <t>Klinikai neurofiziológiai asszisztens</t>
  </si>
  <si>
    <t>Mezőgazdasági technikus</t>
  </si>
  <si>
    <t>Kocsivizsgáló</t>
  </si>
  <si>
    <t>Molnár</t>
  </si>
  <si>
    <t>Motorkerékpár-szerelő</t>
  </si>
  <si>
    <t>Mozgókép- és animációkészítő</t>
  </si>
  <si>
    <t>Műanyagfeldolgozó</t>
  </si>
  <si>
    <t>Műanyagfeldolgozó technikus</t>
  </si>
  <si>
    <t>Kőműves</t>
  </si>
  <si>
    <t>Műbútorasztalos</t>
  </si>
  <si>
    <t>Könyvkötő-nyomtatványfeldolgozó</t>
  </si>
  <si>
    <t>Műemlékfenntartó technikus</t>
  </si>
  <si>
    <t>Műemléki díszítőszobrász</t>
  </si>
  <si>
    <t>Műemléki helyreállító</t>
  </si>
  <si>
    <t>Műszaki informatikus</t>
  </si>
  <si>
    <t>Közművelődési és közönségkapcsolati szakember (a szakmairány megnevezésével)</t>
  </si>
  <si>
    <t>Műszeres analitikus</t>
  </si>
  <si>
    <t>Népi kézműves (a szakmairány megjelölésével)</t>
  </si>
  <si>
    <t>Látszerész és optikai árucikk-kereskedő</t>
  </si>
  <si>
    <t>Női szabó</t>
  </si>
  <si>
    <t>Növényvédelmi szaktechnikus</t>
  </si>
  <si>
    <t>Logisztikai és szállítmányozási ügyintéző</t>
  </si>
  <si>
    <t>Nukleáris környezetvédelmi szaktechnikus</t>
  </si>
  <si>
    <t>Optikai üvegcsiszoló</t>
  </si>
  <si>
    <t>Ortopédiai műszerész</t>
  </si>
  <si>
    <t>Orvosi elektronikai technikus</t>
  </si>
  <si>
    <t>Pantomimes</t>
  </si>
  <si>
    <t>Papíripari technikus</t>
  </si>
  <si>
    <t>Parképítő és fenntartó technikus</t>
  </si>
  <si>
    <t>Patkolókovács</t>
  </si>
  <si>
    <t>Pedagógiai- és családsegítő munkatárs</t>
  </si>
  <si>
    <t>Pék</t>
  </si>
  <si>
    <t>Pénzügyi termékértékesítő (bank, befektetés, biztosítás)</t>
  </si>
  <si>
    <t>Mobilalkalmazás fejlesztő</t>
  </si>
  <si>
    <t>Pénzügyi-számviteli ügyintéző</t>
  </si>
  <si>
    <t>Pincér</t>
  </si>
  <si>
    <t>Postai üzleti ügyintéző</t>
  </si>
  <si>
    <t>Pszichiátriai gondozó</t>
  </si>
  <si>
    <t>Multimédia-alkalmazásfejlesztő</t>
  </si>
  <si>
    <t>Rehabilitációs nevelő, segítő</t>
  </si>
  <si>
    <t>Rekonstrukciós és műemléki festő, mázoló</t>
  </si>
  <si>
    <t>Ruhaipari technikus</t>
  </si>
  <si>
    <t>Sommelier</t>
  </si>
  <si>
    <t>Speciális állatfeldolgozó</t>
  </si>
  <si>
    <t>Sportedző (a sportág megjelölésével)</t>
  </si>
  <si>
    <t>Művészeti és médiafotográfus</t>
  </si>
  <si>
    <t>Sütő- és cukrászipari szaktechnikus</t>
  </si>
  <si>
    <t>Szakács</t>
  </si>
  <si>
    <t>Népzenész I. (a szakmairány megjelölésével)</t>
  </si>
  <si>
    <t>Népzenész II. (a szakmairány megjelölésével)</t>
  </si>
  <si>
    <t>Számítógép-szerelő, karbantartó</t>
  </si>
  <si>
    <t>Szárazépítő</t>
  </si>
  <si>
    <t>Szenvedélybeteg gondozó</t>
  </si>
  <si>
    <t>Szerszámkészítő</t>
  </si>
  <si>
    <t>Nyomdaipari technikus</t>
  </si>
  <si>
    <t>Színháztechnikus, szcenikus</t>
  </si>
  <si>
    <t>Szobrász</t>
  </si>
  <si>
    <t>Szociális asszisztens</t>
  </si>
  <si>
    <t>Ötvös</t>
  </si>
  <si>
    <t>Szociális gondozó és ápoló</t>
  </si>
  <si>
    <t>Szociális szakgondozó</t>
  </si>
  <si>
    <t>Szociális, gyermek- és ifjúságvédelmi ügyintéző</t>
  </si>
  <si>
    <t>Szoftverfejlesztő</t>
  </si>
  <si>
    <t>Szőlész-borász</t>
  </si>
  <si>
    <t>Tartósítóipari szaktechnikus</t>
  </si>
  <si>
    <t>Perioperatív asszisztens</t>
  </si>
  <si>
    <t>Távközlési technikus</t>
  </si>
  <si>
    <t>Tejipari szaktechnikus</t>
  </si>
  <si>
    <t>Települési környezetvédelmi szaktechnikus</t>
  </si>
  <si>
    <t>Térképész szaktechnikus</t>
  </si>
  <si>
    <t>Radiográfiai asszisztens</t>
  </si>
  <si>
    <t>Természetvédelmi szaktechnikus</t>
  </si>
  <si>
    <t>Tetőfedő</t>
  </si>
  <si>
    <t>Textilipari technikus</t>
  </si>
  <si>
    <t>Rendőr tiszthelyettes (a szakmairány megjelölésével)</t>
  </si>
  <si>
    <t>Textilműves</t>
  </si>
  <si>
    <t>Repülőgép-szerelő</t>
  </si>
  <si>
    <t>Turisztikai szervező, értékesítő</t>
  </si>
  <si>
    <t>Útépítő</t>
  </si>
  <si>
    <t>Útépítő és -fenntartó technikus</t>
  </si>
  <si>
    <t>Üvegműves</t>
  </si>
  <si>
    <t>Sportmasszőr</t>
  </si>
  <si>
    <t>Vadászpuska műves</t>
  </si>
  <si>
    <t>Vállalkozási és bérügyintéző</t>
  </si>
  <si>
    <t>Vám-, jövedéki- és termékdíj ügyintéző</t>
  </si>
  <si>
    <t>Vasútépítő és -fenntartó technikus</t>
  </si>
  <si>
    <t>Vasútforgalmi szolgálattevő</t>
  </si>
  <si>
    <t>Vasúti árufuvarozási ügyintéző</t>
  </si>
  <si>
    <t>Színész</t>
  </si>
  <si>
    <t>Színpad- és porond technikus</t>
  </si>
  <si>
    <t>Színpadi fénytervező</t>
  </si>
  <si>
    <t>Színpadi magasépítő</t>
  </si>
  <si>
    <t>Vendéglátó-üzletvezető</t>
  </si>
  <si>
    <t>Vidékfejlesztési szaktechnikus</t>
  </si>
  <si>
    <t>Villanyszerelő</t>
  </si>
  <si>
    <t>Virágdekoratőr</t>
  </si>
  <si>
    <t>Szórakoztató zenész I. (a szakmairány megjelölésével)</t>
  </si>
  <si>
    <t>Virágkötő és virágkereskedő</t>
  </si>
  <si>
    <t>Szórakoztató zenész II. (a szakmairány megjelölésével)</t>
  </si>
  <si>
    <t>Szövettani szakasszisztens</t>
  </si>
  <si>
    <t>Táncos I. (a szakmairány megjelölésével)</t>
  </si>
  <si>
    <t>Táncos II. (a szakmairány megjelölésével)</t>
  </si>
  <si>
    <t>Vízgépészeti és technológiai berendezésszerelő</t>
  </si>
  <si>
    <t>Tartósítóipari szakmunkás</t>
  </si>
  <si>
    <t>Vizi sportmotor-szerelő</t>
  </si>
  <si>
    <t>Tehergépkocsi-vezető</t>
  </si>
  <si>
    <t>Zöldség- és gyümölcstermesztő</t>
  </si>
  <si>
    <t>Tejipari szakmunkás</t>
  </si>
  <si>
    <t>Térinformatikus</t>
  </si>
  <si>
    <t>Üzleti szolgáltatási munkatárs</t>
  </si>
  <si>
    <t>Vadgazdálkodási technikus</t>
  </si>
  <si>
    <t>Vállalkozási mérlegképes könyvelő</t>
  </si>
  <si>
    <t>Vasúti jármű dízelmotor- és hajtásszerelő</t>
  </si>
  <si>
    <t>Vasúti jármű szerkezeti és fékrendszer szerelője</t>
  </si>
  <si>
    <t>Vasúti jármű villamos rendszereinek szerelője</t>
  </si>
  <si>
    <t>Vasútijármű-technikus és diagnosztikus</t>
  </si>
  <si>
    <t>Vegyész technikus</t>
  </si>
  <si>
    <t>Vegyipari rendszerkezelő</t>
  </si>
  <si>
    <t>Vegyipari rendszerüzemeltető szaktechnikus</t>
  </si>
  <si>
    <t>Vendéglátásszervező</t>
  </si>
  <si>
    <t>Vésnök</t>
  </si>
  <si>
    <t>Vízépítő szaktechnikus</t>
  </si>
  <si>
    <t>Vízgazdálkodó technikus</t>
  </si>
  <si>
    <t>Vízgépészeti technikus</t>
  </si>
  <si>
    <t>Víziközmű technikus</t>
  </si>
  <si>
    <t>Vízminőség-védelmi szaktechnikus</t>
  </si>
  <si>
    <t>Vízügyi szakmunkás</t>
  </si>
  <si>
    <t>Webfejlesztő</t>
  </si>
  <si>
    <t>ÖSSZESÍTŐK SORA</t>
  </si>
  <si>
    <t>Egyedi sor azonosító</t>
  </si>
  <si>
    <t>Képzés kezdete
(lenyíló menü)</t>
  </si>
  <si>
    <t>Szakképesítés megnevezése
(lenyíló menü)</t>
  </si>
  <si>
    <t>A képzés lehetséges munkarendje
(E = esti,
L= levelező,
S = egyéb sajátos munkarend,
T = távoktatás)</t>
  </si>
  <si>
    <t>OKJ szám</t>
  </si>
  <si>
    <t>Sorszám</t>
  </si>
  <si>
    <t>I</t>
  </si>
  <si>
    <t xml:space="preserve"> -</t>
  </si>
  <si>
    <t xml:space="preserve"> I</t>
  </si>
  <si>
    <t>OKJ szint
(technikai oszlop)</t>
  </si>
  <si>
    <t>képzés kezdete + képzés hossza
(technikai oszlop)</t>
  </si>
  <si>
    <t>Felnőttoktatás 9-12. évfolyam keretében a gimnázium négy évfolyamos érettségi vizsgára felkészítő szakasza</t>
  </si>
  <si>
    <t>Felnőttoktatás 1-4. évfolyam számára</t>
  </si>
  <si>
    <t>Szakközépiskola két évfolyamos érettségi vizsgára felkészítő szakasza felnőttoktatásban</t>
  </si>
  <si>
    <t>ALAPADATOK</t>
  </si>
  <si>
    <t>TÁMOGATÁS SZÁMÍTÁS</t>
  </si>
  <si>
    <t>OKJ szám + munkarend
(technikai oszlop)</t>
  </si>
  <si>
    <t>megnevezése:</t>
  </si>
  <si>
    <t>székhelye:</t>
  </si>
  <si>
    <t>adószáma:</t>
  </si>
  <si>
    <t>PIR szám</t>
  </si>
  <si>
    <t>Adószám</t>
  </si>
  <si>
    <t>KSH statisztikai számjel</t>
  </si>
  <si>
    <t>Szakágazat kódja</t>
  </si>
  <si>
    <t>ÁHT azonosító</t>
  </si>
  <si>
    <t>ÁHT az.típusa</t>
  </si>
  <si>
    <t>15831828-2-03</t>
  </si>
  <si>
    <t>15831828-8532-312-03</t>
  </si>
  <si>
    <t>853200</t>
  </si>
  <si>
    <t>354417</t>
  </si>
  <si>
    <t>Bajai Szakképzési Centrum</t>
  </si>
  <si>
    <t>15831835-2-04</t>
  </si>
  <si>
    <t>15831835-8532-312-04</t>
  </si>
  <si>
    <t>354428</t>
  </si>
  <si>
    <t>Békéscsabai Szakképzési Centrum</t>
  </si>
  <si>
    <t>15831842-2-09</t>
  </si>
  <si>
    <t>15831842-8532-312-09</t>
  </si>
  <si>
    <t>354439</t>
  </si>
  <si>
    <t>Berettyóújfalui Szakképzési Centrum</t>
  </si>
  <si>
    <t>15831859-2-42</t>
  </si>
  <si>
    <t>15831859-8532-312-01</t>
  </si>
  <si>
    <t>354440</t>
  </si>
  <si>
    <t>Budapesti Gazdasági Szakképzési Centrum</t>
  </si>
  <si>
    <t>15831866-2-41</t>
  </si>
  <si>
    <t>15831866-8532-312-01</t>
  </si>
  <si>
    <t>354451</t>
  </si>
  <si>
    <t>Budapesti Gépészeti Szakképzési Centrum</t>
  </si>
  <si>
    <t>15831873-2-43</t>
  </si>
  <si>
    <t>15831873-8532-312-01</t>
  </si>
  <si>
    <t>354462</t>
  </si>
  <si>
    <t>Budapesti Komplex  Szakképzési Centrum</t>
  </si>
  <si>
    <t>15831880-2-42</t>
  </si>
  <si>
    <t>15831880-8532-312-01</t>
  </si>
  <si>
    <t>354473</t>
  </si>
  <si>
    <t>Budapesti Műszaki Szakképzési Centrum</t>
  </si>
  <si>
    <t>15831907-2-13</t>
  </si>
  <si>
    <t>15831907-8532-312-13</t>
  </si>
  <si>
    <t>354495</t>
  </si>
  <si>
    <t>Ceglédi Szakképzési Centrum</t>
  </si>
  <si>
    <t>15831914-2-09</t>
  </si>
  <si>
    <t>15831914-8532-312-09</t>
  </si>
  <si>
    <t>354506</t>
  </si>
  <si>
    <t>Debreceni Szakképzési Centrum</t>
  </si>
  <si>
    <t>15831921-2-07</t>
  </si>
  <si>
    <t>15831921-8532-312-07</t>
  </si>
  <si>
    <t>354517</t>
  </si>
  <si>
    <t>Dunaújvárosi Szakképzési Centrum</t>
  </si>
  <si>
    <t>15831938-2-10</t>
  </si>
  <si>
    <t>15831938-8532-312-10</t>
  </si>
  <si>
    <t>354528</t>
  </si>
  <si>
    <t>15831945-1-13</t>
  </si>
  <si>
    <t>15831945-8532-312-13</t>
  </si>
  <si>
    <t>Érdi Szakképzési Centrum</t>
  </si>
  <si>
    <t>15831952-2-08</t>
  </si>
  <si>
    <t>15831952-8532-312-08</t>
  </si>
  <si>
    <t>354540</t>
  </si>
  <si>
    <t>15831976-2-04</t>
  </si>
  <si>
    <t>15831976-8532-312-04</t>
  </si>
  <si>
    <t>354562</t>
  </si>
  <si>
    <t>Gyulai Szakképzési Centrum</t>
  </si>
  <si>
    <t>15831983-2-06</t>
  </si>
  <si>
    <t>15831983-8532-312-06</t>
  </si>
  <si>
    <t>354573</t>
  </si>
  <si>
    <t>Hódmezővásárhelyi Szakképzési Centrum</t>
  </si>
  <si>
    <t>15831990-2-14</t>
  </si>
  <si>
    <t>15831990-8532-312-14</t>
  </si>
  <si>
    <t>354584</t>
  </si>
  <si>
    <t>Kaposvári Szakképzési Centrum</t>
  </si>
  <si>
    <t>15832001-2-16</t>
  </si>
  <si>
    <t>15832001-8532-312-16</t>
  </si>
  <si>
    <t>354595</t>
  </si>
  <si>
    <t>Karcagi Szakképzési Centrum</t>
  </si>
  <si>
    <t>15832018-2-03</t>
  </si>
  <si>
    <t>15832018-8532-312-03</t>
  </si>
  <si>
    <t>354606</t>
  </si>
  <si>
    <t>Kecskeméti Szakképzési Centrum</t>
  </si>
  <si>
    <t>15832025-2-03</t>
  </si>
  <si>
    <t>15832025-8532-312-03</t>
  </si>
  <si>
    <t>354617</t>
  </si>
  <si>
    <t>Kiskunhalasi Szakképzési Centrum</t>
  </si>
  <si>
    <t>15832032-2-15</t>
  </si>
  <si>
    <t>15832032-8532-312-15</t>
  </si>
  <si>
    <t>354628</t>
  </si>
  <si>
    <t>Kisvárdai Szakképzési Centrum</t>
  </si>
  <si>
    <t>15832049-2-15</t>
  </si>
  <si>
    <t>15832049-8532-312-15</t>
  </si>
  <si>
    <t>354639</t>
  </si>
  <si>
    <t>Mátészalkai Szakképzési Centrum</t>
  </si>
  <si>
    <t>15832056-2-05</t>
  </si>
  <si>
    <t>15832056-8532-312-05</t>
  </si>
  <si>
    <t>354640</t>
  </si>
  <si>
    <t>Miskolci Szakképzési Centrum</t>
  </si>
  <si>
    <t>15832063-2-20</t>
  </si>
  <si>
    <t>15832063-8532-312-20</t>
  </si>
  <si>
    <t>354651</t>
  </si>
  <si>
    <t>Nagykanizsai Szakképzési Centrum</t>
  </si>
  <si>
    <t>15832070-2-15</t>
  </si>
  <si>
    <t>15832070-8532-312-15</t>
  </si>
  <si>
    <t>354662</t>
  </si>
  <si>
    <t>Nyíregyházi Szakképzési Centrum</t>
  </si>
  <si>
    <t>15832087-2-05</t>
  </si>
  <si>
    <t>15832087-8532-312-05</t>
  </si>
  <si>
    <t>354673</t>
  </si>
  <si>
    <t>Ózdi Szakképzési Centrum</t>
  </si>
  <si>
    <t>15832094-2-19</t>
  </si>
  <si>
    <t>15832094-8532-312-19</t>
  </si>
  <si>
    <t>354684</t>
  </si>
  <si>
    <t>Pápai Szakképzési Centrum</t>
  </si>
  <si>
    <t>15832104-2-02</t>
  </si>
  <si>
    <t>15832104-8532-312-02</t>
  </si>
  <si>
    <t>354695</t>
  </si>
  <si>
    <t>15832111-2-12</t>
  </si>
  <si>
    <t>15832111-8532-312-12</t>
  </si>
  <si>
    <t>354706</t>
  </si>
  <si>
    <t>15832128-2-14</t>
  </si>
  <si>
    <t>15832128-8532-312-14</t>
  </si>
  <si>
    <t>354717</t>
  </si>
  <si>
    <t>Siófoki Szakképzési Centrum</t>
  </si>
  <si>
    <t>15832135-2-08</t>
  </si>
  <si>
    <t xml:space="preserve"> 15832135-8532-312-08</t>
  </si>
  <si>
    <t>354728</t>
  </si>
  <si>
    <t>Soproni Szakképzési Centrum</t>
  </si>
  <si>
    <t>15832142-2-06</t>
  </si>
  <si>
    <t>15832142-8532-312-06</t>
  </si>
  <si>
    <t>354739</t>
  </si>
  <si>
    <t>Szegedi Szakképzési Centrum</t>
  </si>
  <si>
    <t>15832159-2-07</t>
  </si>
  <si>
    <t>15832159-8532-312-07</t>
  </si>
  <si>
    <t>354740</t>
  </si>
  <si>
    <t>Székesfehérvári Szakképzési Centrum</t>
  </si>
  <si>
    <t>15832166-2-17</t>
  </si>
  <si>
    <t>15832166-8532-312-17</t>
  </si>
  <si>
    <t>354751</t>
  </si>
  <si>
    <t>15832173-2-05</t>
  </si>
  <si>
    <t>15832173-8532-312-05</t>
  </si>
  <si>
    <t>354762</t>
  </si>
  <si>
    <t>Szerencsi Szakképzési Centrum</t>
  </si>
  <si>
    <t>15832180-2-16</t>
  </si>
  <si>
    <t>15832180-8532-312-16</t>
  </si>
  <si>
    <t>354773</t>
  </si>
  <si>
    <t>Szolnoki Műszaki Szakképzési Centrum</t>
  </si>
  <si>
    <t>15832207-2-18</t>
  </si>
  <si>
    <t>15832207-8532-312-18</t>
  </si>
  <si>
    <t>354795</t>
  </si>
  <si>
    <t>Tatabányai Szakképzési Centrum</t>
  </si>
  <si>
    <t>15832221-2-13</t>
  </si>
  <si>
    <t>15832221-8532-312-13</t>
  </si>
  <si>
    <t>354828</t>
  </si>
  <si>
    <t>Váci Szakképzési Centrum</t>
  </si>
  <si>
    <t>15832238-2-19</t>
  </si>
  <si>
    <t>15832238-8532-312-19</t>
  </si>
  <si>
    <t>354839</t>
  </si>
  <si>
    <t>Veszprémi Szakképzési Centrum</t>
  </si>
  <si>
    <t>15832245-2-20</t>
  </si>
  <si>
    <t>15832245-8532-312-20</t>
  </si>
  <si>
    <t>354840</t>
  </si>
  <si>
    <t>Zalaegerszegi Szakképzési Centrum</t>
  </si>
  <si>
    <t>Virág Tibor</t>
  </si>
  <si>
    <t>Mucsi Balázs Sándor</t>
  </si>
  <si>
    <t>Pelyhéné Bartha Irén</t>
  </si>
  <si>
    <t>Dr. Horváth Béla</t>
  </si>
  <si>
    <t>Buncsák Gábor</t>
  </si>
  <si>
    <t>Tirpák Zsolt</t>
  </si>
  <si>
    <t>Fábri Eufrozina</t>
  </si>
  <si>
    <t>Pergel Antal</t>
  </si>
  <si>
    <t>Gede Eszter</t>
  </si>
  <si>
    <t>Kovács Zsuzsanna</t>
  </si>
  <si>
    <t>Árva-Nagy Sándorné</t>
  </si>
  <si>
    <t>Csiba Ágota</t>
  </si>
  <si>
    <t>Pardi Sándor</t>
  </si>
  <si>
    <t>Leviczky Cirill</t>
  </si>
  <si>
    <t>Papp Gyula</t>
  </si>
  <si>
    <t>Rostás János Tibor</t>
  </si>
  <si>
    <t>Bene Csaba</t>
  </si>
  <si>
    <t>Gurbánné Papp Mária</t>
  </si>
  <si>
    <t>Sági István Csaba</t>
  </si>
  <si>
    <t>Metzger Tibor</t>
  </si>
  <si>
    <t>Gembiczki Ferenc</t>
  </si>
  <si>
    <t>Szamosi Lóránt</t>
  </si>
  <si>
    <t>Králik Tibor</t>
  </si>
  <si>
    <t>Kulcsár Szilvia</t>
  </si>
  <si>
    <t>Ábrahám Norbert</t>
  </si>
  <si>
    <t>Hicsó György</t>
  </si>
  <si>
    <t>Kalmár Andrea</t>
  </si>
  <si>
    <t>Szentgyörgyvári Róbert</t>
  </si>
  <si>
    <t>Dudás Tibor</t>
  </si>
  <si>
    <t>Szabó Károly</t>
  </si>
  <si>
    <t>kapcsolattartója</t>
  </si>
  <si>
    <t>kapcsolattartójának elérhetősége 
(telefon, e-mail cím)</t>
  </si>
  <si>
    <t>Székhely</t>
  </si>
  <si>
    <t>6500 Baja, Petőfi Sándor utca 3.</t>
  </si>
  <si>
    <t>5600 Békéscsaba, Gyulai út 32/1</t>
  </si>
  <si>
    <t>4100 Berettyóújfalu, Eötvös utca 1.</t>
  </si>
  <si>
    <t>1074 Budapest, Dohány utca 65.</t>
  </si>
  <si>
    <t>1211 Budapest, Tanműhely köz 7.</t>
  </si>
  <si>
    <t>2700 Cegléd, Malom tér 3.</t>
  </si>
  <si>
    <t>4030 Debrecen, Fokos utca 12.</t>
  </si>
  <si>
    <t>2400 Dunaújváros, Római körút 51./A</t>
  </si>
  <si>
    <t>3300 Eger, Kertész utca 128.</t>
  </si>
  <si>
    <t>2030 Érd, Ercsi út 8.</t>
  </si>
  <si>
    <t>9024 Győr, Nádor tér 4.</t>
  </si>
  <si>
    <t>5700 Gyula, Szent István utca 38.</t>
  </si>
  <si>
    <t>7400 Kaposvár, Kontrássy utca 2/A.</t>
  </si>
  <si>
    <t>5300 Karcag, Dózsa György út 29.</t>
  </si>
  <si>
    <t>6000 Kecskemét, Szolnoki út 31.</t>
  </si>
  <si>
    <t>6400 Kiskunhalas, Kazinczy utca 5.</t>
  </si>
  <si>
    <t>4700 Mátészalka, Kölcsey utca 12.</t>
  </si>
  <si>
    <t>8800 Nagykanizsa,  Erdész utca 30.</t>
  </si>
  <si>
    <t>4400 Nyíregyháza, Dugonics utca 10-12.</t>
  </si>
  <si>
    <t>8500 Pápa, Erkel Ferenc utca 39.</t>
  </si>
  <si>
    <t>7622 Pécs, Batthyány utca 1-3.</t>
  </si>
  <si>
    <t>3100 Salgótarján, Rákóczi út 60.</t>
  </si>
  <si>
    <t>8600 Siófok, Kálmán Imre sétány 3.</t>
  </si>
  <si>
    <t>9400 Sopron, Virágoskert utca 7.</t>
  </si>
  <si>
    <t>6725 Szeged, Kálvária sugárút 84-86.</t>
  </si>
  <si>
    <t>8000 Székesfehérvár, Budai út 45.</t>
  </si>
  <si>
    <t>7100 Szekszárd, Széchenyi utca 2-14.</t>
  </si>
  <si>
    <t>3900 Szerencs, Rákóczi Ferenc út 125.</t>
  </si>
  <si>
    <t>5000 Szolnok, Baross utca 37/A</t>
  </si>
  <si>
    <t>9700 Szombathely, Akacs Mihály utca 8-10.</t>
  </si>
  <si>
    <t>2600 Vác, Naszály út 8.</t>
  </si>
  <si>
    <t>8200 Veszprém, Eötvös Károly utca 1.</t>
  </si>
  <si>
    <t>8900 Zalaegerszeg, Kinizsi Pál utca 74.</t>
  </si>
  <si>
    <t>Vlcskó Pál</t>
  </si>
  <si>
    <t>Nemes Zoltán</t>
  </si>
  <si>
    <t>Fenyvesi Éva</t>
  </si>
  <si>
    <t>Bánátfy Andrea</t>
  </si>
  <si>
    <t>Dr. Molnárné Rénes Éva</t>
  </si>
  <si>
    <t>Szabadi Zoltán</t>
  </si>
  <si>
    <t>Péli András</t>
  </si>
  <si>
    <t>Csörgits Krisztián</t>
  </si>
  <si>
    <t>Kard János</t>
  </si>
  <si>
    <t>Pető István</t>
  </si>
  <si>
    <t>Vikker József</t>
  </si>
  <si>
    <t>Anda Zoltán</t>
  </si>
  <si>
    <t>Zsid László</t>
  </si>
  <si>
    <t>Rittlinger Zoltán</t>
  </si>
  <si>
    <t>Baranyi Zoltán</t>
  </si>
  <si>
    <t>Kuntár Csaba</t>
  </si>
  <si>
    <t>Sági Zoltán</t>
  </si>
  <si>
    <t>Böröcz Csaba</t>
  </si>
  <si>
    <t>06-20/572-1199, pal.vlcsko@bszc.hu</t>
  </si>
  <si>
    <t>06-20/336-5957, fenyvesi.eva@gszc.hu</t>
  </si>
  <si>
    <t>06-30/860-7500, banatfy.andrea@bkszc.hu</t>
  </si>
  <si>
    <t>06-70/197-6382, szakmaigh@ceglediszc.hu</t>
  </si>
  <si>
    <t>06-70/400-2562, szakmfoigh@dunaujvarosiszc.hu</t>
  </si>
  <si>
    <t>06-70/502-8755, meszaros.balazs@erdiszakkepzesicentrum.hu</t>
  </si>
  <si>
    <t>06-30/827-8863, kard.janos@kszc.hu</t>
  </si>
  <si>
    <t>06-30/397-2667, istvan.peto@kecskemetiszc.hu</t>
  </si>
  <si>
    <t>06-70/332-8650, vikker.jozsef@kiskunhalasiszc.hu</t>
  </si>
  <si>
    <t>06-20/957-5766, anda.zoltan@nagykanizsaiszc.hu</t>
  </si>
  <si>
    <t>06-70/512-6774, centrum@nyiregyhaziszc.hu</t>
  </si>
  <si>
    <t>06-70/199-6755, kuntarcs@soproniszc.hu</t>
  </si>
  <si>
    <t>06-30/241-3911, vilonya.sandor@szakkepzesszeged.hu</t>
  </si>
  <si>
    <t>06-70/198-6240, szabo.csilla@szfszc.hu</t>
  </si>
  <si>
    <t>Víz-, csatorna- és közmű- rendszerszerelő</t>
  </si>
  <si>
    <t>_2017_2018_keresztfélév</t>
  </si>
  <si>
    <t xml:space="preserve">Állattartó szakmunkás </t>
  </si>
  <si>
    <t xml:space="preserve">Építő- szállító- és munkagép-szerelő </t>
  </si>
  <si>
    <t xml:space="preserve">Finommechanikai műszerész </t>
  </si>
  <si>
    <t xml:space="preserve">Fotográfus és fotótermék-kereskedő                                                     </t>
  </si>
  <si>
    <t xml:space="preserve">Hajós szakmunkás </t>
  </si>
  <si>
    <t>Honvéd altiszt (az ágazat/szakmairány  megjelölésével)</t>
  </si>
  <si>
    <t>Honvéd zászlós (az ágazat/szakmairány  megjelölésével)</t>
  </si>
  <si>
    <t xml:space="preserve">Információrendszer-szervező </t>
  </si>
  <si>
    <t xml:space="preserve">Informatikai rendszerüzemeltető </t>
  </si>
  <si>
    <t xml:space="preserve">Kertész </t>
  </si>
  <si>
    <t xml:space="preserve">Klinikai fogászati higiénikus </t>
  </si>
  <si>
    <t xml:space="preserve">Kőműves </t>
  </si>
  <si>
    <t xml:space="preserve">Mezőgazdasági gépésztechnikus </t>
  </si>
  <si>
    <t xml:space="preserve">Optikai üvegcsiszoló </t>
  </si>
  <si>
    <t>Rendőr tiszthelyettes  (a szakmairány megjelölésével)</t>
  </si>
  <si>
    <t xml:space="preserve">Színész </t>
  </si>
  <si>
    <t xml:space="preserve">Színpad- és porond technikus </t>
  </si>
  <si>
    <t>3525 Miskolc, Széchenyi utca 103.</t>
  </si>
  <si>
    <t>Szakmai főigazgató-helyettes</t>
  </si>
  <si>
    <t>Valterné Pataki Gabriella</t>
  </si>
  <si>
    <t>Papp Gábor</t>
  </si>
  <si>
    <t>Hartyándiné Frey Aranka Elvira</t>
  </si>
  <si>
    <t>Jancsurák József</t>
  </si>
  <si>
    <t>Moldován György Zsolt</t>
  </si>
  <si>
    <t>Ignácz Bence</t>
  </si>
  <si>
    <t>Pájer Attila</t>
  </si>
  <si>
    <t xml:space="preserve">Bodrogi Csaba </t>
  </si>
  <si>
    <t>Erdélyi Margit</t>
  </si>
  <si>
    <t>Majkutiné Csermely Lujza</t>
  </si>
  <si>
    <t>Polgár Piroska</t>
  </si>
  <si>
    <t>Meszes Balázs</t>
  </si>
  <si>
    <t>Csúzdi Zoltán</t>
  </si>
  <si>
    <t>Település keltezéshez</t>
  </si>
  <si>
    <t>Baja</t>
  </si>
  <si>
    <t>Békéscsaba</t>
  </si>
  <si>
    <t>Berettyóújfalu</t>
  </si>
  <si>
    <t>Cegléd</t>
  </si>
  <si>
    <t>Debrecen</t>
  </si>
  <si>
    <t>Dunaújváros</t>
  </si>
  <si>
    <t>Eger</t>
  </si>
  <si>
    <t>Érd</t>
  </si>
  <si>
    <t>Győr</t>
  </si>
  <si>
    <t>Gyula</t>
  </si>
  <si>
    <t>Hódmezővásárhely</t>
  </si>
  <si>
    <t>Kaposvár</t>
  </si>
  <si>
    <t>Karcag</t>
  </si>
  <si>
    <t>Kecskemét</t>
  </si>
  <si>
    <t>Kiskunhalas</t>
  </si>
  <si>
    <t>Kisvárda</t>
  </si>
  <si>
    <t>Mátészalka</t>
  </si>
  <si>
    <t>Miskolc</t>
  </si>
  <si>
    <t>Nagykanizsa</t>
  </si>
  <si>
    <t>Nyíregyháza</t>
  </si>
  <si>
    <t>Ózd</t>
  </si>
  <si>
    <t>Pápa</t>
  </si>
  <si>
    <t>Pécs</t>
  </si>
  <si>
    <t>Salgótarján</t>
  </si>
  <si>
    <t>Siófok</t>
  </si>
  <si>
    <t>Sopron</t>
  </si>
  <si>
    <t>Szeged</t>
  </si>
  <si>
    <t>Székesfehérvár</t>
  </si>
  <si>
    <t>Szekszárd</t>
  </si>
  <si>
    <t>Szerencs</t>
  </si>
  <si>
    <t>Szolnok</t>
  </si>
  <si>
    <t>Szombathely</t>
  </si>
  <si>
    <t>Tatabánya</t>
  </si>
  <si>
    <t>Vác</t>
  </si>
  <si>
    <t>Zalaegerszeg</t>
  </si>
  <si>
    <t>Orvosné Bánvölgyi Éva</t>
  </si>
  <si>
    <t>06-47/200-124, sagi.zoltan@szerencsiszc.hu</t>
  </si>
  <si>
    <t>Maradvány:</t>
  </si>
  <si>
    <t>_2018_2019_ősz</t>
  </si>
  <si>
    <t>Épületszobrász és műköves</t>
  </si>
  <si>
    <t>Kőfaragó</t>
  </si>
  <si>
    <t>Mentésirányító</t>
  </si>
  <si>
    <t>Pék-cukrász</t>
  </si>
  <si>
    <t>OM azonosító</t>
  </si>
  <si>
    <t>Számlavezető, fizetési számlaszám</t>
  </si>
  <si>
    <t>10025004-00335429-00000000</t>
  </si>
  <si>
    <t>10026005-00335443-00000000</t>
  </si>
  <si>
    <t>10034002-00335560-00000000</t>
  </si>
  <si>
    <t>10032000-00335467-00000000</t>
  </si>
  <si>
    <t>1138 Budapest, Váci út 179-183.</t>
  </si>
  <si>
    <t>10032000-00335481-00000000</t>
  </si>
  <si>
    <t>10032000-00335508-00000000</t>
  </si>
  <si>
    <t>10032000-00335522-00000000</t>
  </si>
  <si>
    <t>10032000-00335412-00000000</t>
  </si>
  <si>
    <t>10034002-00335395-00000000</t>
  </si>
  <si>
    <t>10029008-00335371-00000000</t>
  </si>
  <si>
    <t>10035003-00335357-00000000</t>
  </si>
  <si>
    <t>10032000-00335340-00000000</t>
  </si>
  <si>
    <t>10033001-00335319-00000000</t>
  </si>
  <si>
    <t>10026005-00335292-00000000</t>
  </si>
  <si>
    <t>10028007-00335261-00000000</t>
  </si>
  <si>
    <t>10039007-00335584-00000000</t>
  </si>
  <si>
    <t>10045002-00335209-00000000</t>
  </si>
  <si>
    <t>10025004-00335175-00000000</t>
  </si>
  <si>
    <t>10025004-00335247-00000000</t>
  </si>
  <si>
    <t>10044001-00335223-00000000</t>
  </si>
  <si>
    <t>10044001-00335285-00000000</t>
  </si>
  <si>
    <t>10027006-00335254-00000000</t>
  </si>
  <si>
    <t>10049006-00335326-00000000</t>
  </si>
  <si>
    <t>10044001-00335302-00000000</t>
  </si>
  <si>
    <t>10027006-00335333-00000000</t>
  </si>
  <si>
    <t>10048005-00335364-00000000</t>
  </si>
  <si>
    <t>10024003-00335388-00000000</t>
  </si>
  <si>
    <t>10037005-00335405-00000000</t>
  </si>
  <si>
    <t>10029008-00335498-00000000</t>
  </si>
  <si>
    <t>10033001-00335515-00000000</t>
  </si>
  <si>
    <t>10028007-00335450-00000000</t>
  </si>
  <si>
    <t>10029008-00335474-00000000</t>
  </si>
  <si>
    <t>10046003-00335230-00000000</t>
  </si>
  <si>
    <t>10027006-00335436-00000000</t>
  </si>
  <si>
    <t>10045002-00335553-00000000</t>
  </si>
  <si>
    <t>10047004-00335591-00000000</t>
  </si>
  <si>
    <t>Rettegi Attila László</t>
  </si>
  <si>
    <t>10032000-00335182-00000000</t>
  </si>
  <si>
    <t>10048005-00335199-00000000</t>
  </si>
  <si>
    <t>10049006-00335216-00000000</t>
  </si>
  <si>
    <t>4600 Kisvárda, Mártírok útja 8.</t>
  </si>
  <si>
    <t xml:space="preserve"> </t>
  </si>
  <si>
    <t>Főigazgató</t>
  </si>
  <si>
    <t>Uhljár Erik</t>
  </si>
  <si>
    <t>dr. Ferenczi Norbert</t>
  </si>
  <si>
    <t>Piros Mariann</t>
  </si>
  <si>
    <t>Simon István Tamás</t>
  </si>
  <si>
    <t>Hegedűs Zoltán</t>
  </si>
  <si>
    <t>Matus Attila Imre</t>
  </si>
  <si>
    <t>Kiss Gábor</t>
  </si>
  <si>
    <t>Avramucz Mihály</t>
  </si>
  <si>
    <t>Dömötör Csaba</t>
  </si>
  <si>
    <t>Csapó Gábor Tibor</t>
  </si>
  <si>
    <t>_2018_2019_keresztfélév</t>
  </si>
  <si>
    <t>Győri_SZC</t>
  </si>
  <si>
    <t>Vas_Megyei_SZC</t>
  </si>
  <si>
    <t>Farkas Valéria</t>
  </si>
  <si>
    <t>Kiss Hajnalka</t>
  </si>
  <si>
    <t>06-30/546-5822, 06-54/475-104, nemes.zoltan@berettyoujfaluiszc.hu</t>
  </si>
  <si>
    <t>Kozma László</t>
  </si>
  <si>
    <t>Trecskó Alíz</t>
  </si>
  <si>
    <t>06-70/502-3073, trecsko.aliz@bmszc.hu</t>
  </si>
  <si>
    <t>Pocsainé Varga Veronika</t>
  </si>
  <si>
    <t>Mészáros Balázs, oktatási és felnőttképzési vezető</t>
  </si>
  <si>
    <t>Győri Szakképzési Centrum</t>
  </si>
  <si>
    <t>Győrfi Lászlóné, szakképzési referens</t>
  </si>
  <si>
    <t>06-96/203-361 (106), 06-20/357 6365, gyorfi.katalin@gymszc.hu</t>
  </si>
  <si>
    <t>Szűcs Lajos, tanügyi referens</t>
  </si>
  <si>
    <t>06-66/561-420/355, 06-20/260-2432, lajos.szucs@gyszc.hu</t>
  </si>
  <si>
    <t>06-62/202-475, 06-30/781-3201, orvosevi@hiszk.hu</t>
  </si>
  <si>
    <t xml:space="preserve">Weimann Gáborné </t>
  </si>
  <si>
    <t>Kard János, szakmai főigazgató-helyettes</t>
  </si>
  <si>
    <t>06-30/239-2670, szakmai.foigh@karcagiszc.hu</t>
  </si>
  <si>
    <t>Madariné Ádám Györgyi</t>
  </si>
  <si>
    <t>Matus Attila Imre, kancellár</t>
  </si>
  <si>
    <t>Dr. Bugya László</t>
  </si>
  <si>
    <t>Molnár Péter</t>
  </si>
  <si>
    <t>Lakatos Zsolt, tanügyigazgatási szakügyintéző</t>
  </si>
  <si>
    <t>06-46/796-020/132 mellék, 06-70/668-1546, lakatoszsolt@miskolci-szc.hu</t>
  </si>
  <si>
    <t>Lelkóné Tollár Ildikó</t>
  </si>
  <si>
    <t>Pivonka Szilvia</t>
  </si>
  <si>
    <t>Márföldiné Kotricz Erzsébet, szakképzési referens</t>
  </si>
  <si>
    <t>Tuza Ottó</t>
  </si>
  <si>
    <t>Zsid László, szakmai főigazgató-helyettes</t>
  </si>
  <si>
    <t>Berta Ildikó</t>
  </si>
  <si>
    <t>Szarka Attiláné</t>
  </si>
  <si>
    <t>Benedek Gábor, oktatási referens</t>
  </si>
  <si>
    <t>benedek.gabor@papaiszc.hu</t>
  </si>
  <si>
    <t>dr. Péter István</t>
  </si>
  <si>
    <t>Jakab Judit, tanügyigazgatási referens</t>
  </si>
  <si>
    <t>06-70/199-3524, jakab.judit@pecsiszc.hu</t>
  </si>
  <si>
    <t>Pribisán Gábor</t>
  </si>
  <si>
    <t>Baranyi Zoltán,  főigazgató</t>
  </si>
  <si>
    <t>Horváth Péter</t>
  </si>
  <si>
    <t>Bodrogi Csaba, szakmai főigazgató-helyettes</t>
  </si>
  <si>
    <t>06-30/235 6041, csaba.bodrogi@siofokiszc.hu</t>
  </si>
  <si>
    <t>Nagy Zsolt</t>
  </si>
  <si>
    <t>Gyömbér Márta</t>
  </si>
  <si>
    <t>Vilonya Sándor intézményirányítási osztályvezető</t>
  </si>
  <si>
    <t>Szabó Csilla felnőttoktatási csoportvezető</t>
  </si>
  <si>
    <t>Müller Attila</t>
  </si>
  <si>
    <t>Müller Attila,  szakmai főigazgató-helyettes</t>
  </si>
  <si>
    <t>Bukta Márta</t>
  </si>
  <si>
    <t>Szolnoki_SZC</t>
  </si>
  <si>
    <t>Szolnoki Szakképzési Centrum</t>
  </si>
  <si>
    <t>Szántó Péter</t>
  </si>
  <si>
    <t>06-20/200-2086, szanto.peter@szolmusz.hu</t>
  </si>
  <si>
    <t>dr. Tóth István, tanügyigazgatási referens</t>
  </si>
  <si>
    <t>06-34/517-148, isttoth9193@gmail.com</t>
  </si>
  <si>
    <t>Papolczi Emőke Mária</t>
  </si>
  <si>
    <t>Gombos Péter</t>
  </si>
  <si>
    <t>06-70/669-4932, gombos.peter@vszc.hu</t>
  </si>
  <si>
    <t>Vas Megyei  Szakképzési Centrum</t>
  </si>
  <si>
    <t>Volf  Mária Magdolna</t>
  </si>
  <si>
    <t>06-20/233-3419, volf.mariam@vmszc.hu</t>
  </si>
  <si>
    <t>Vizlendvai László</t>
  </si>
  <si>
    <t>Böröcz Csaba, szakmai főigazgató-helyettes</t>
  </si>
  <si>
    <t>06-30/196-7866, borocz.csaba@zegszakkepzo.hu</t>
  </si>
  <si>
    <t>_2019_2020_ősz</t>
  </si>
  <si>
    <t>70/334-9133; 79/521-088; virag.tibor@bajaiszc.hu</t>
  </si>
  <si>
    <t>70/515-6900; 66/441-314; erik.uhljar@bszc.hu</t>
  </si>
  <si>
    <t>30/257-2625; 54/951-961; papp.gabor@berettyoujfaluiszc.hu</t>
  </si>
  <si>
    <t>30/166-0681; 1/585-8180/8215 mellék; varga.csaba@gszc.hu</t>
  </si>
  <si>
    <t>70/399-5939; kancellári titkárság: 70/502-3060; renes.eva@bmszc.hu</t>
  </si>
  <si>
    <t>70/930-4170; 53/789-934; kancellar@ceglediszc.hu</t>
  </si>
  <si>
    <t>30/167-6879; kancellar@erdiszakkepzesicentrum.hu</t>
  </si>
  <si>
    <t>20/538-9960; 66/561-420; istvan.simon@gyszc.hu</t>
  </si>
  <si>
    <t>30/781-3199; 62/202-475/112; hegeduszoltan@hiszk.hu</t>
  </si>
  <si>
    <t>30/512-3779; 82/494-104; csiba.agota@kszc.hu</t>
  </si>
  <si>
    <t>70/399-0560; 77/738-837; csuzdi.zoltan@kiskunhalasiszc.hu</t>
  </si>
  <si>
    <t>20/986-1778; 45/488-031; kisvardakancellar@gmail.com</t>
  </si>
  <si>
    <t>70/507-7075; 46/796-020; 46/412-444; kancellar@miskolci-szc.hu</t>
  </si>
  <si>
    <t>20/492-3305;  89/313-053; sagi.istvan@papaiszc.hu</t>
  </si>
  <si>
    <t>20/234-1070; 70/199-3529; metzger.tibor@pecsiszc.hu</t>
  </si>
  <si>
    <t>20/957-1587; 99/311-916; kralikt@soproniszc.hu</t>
  </si>
  <si>
    <t>30/647-3556; 62/554-560; avramucz.mihaly@szakkepzesszeged.hu</t>
  </si>
  <si>
    <t>70/935-5270; rubi.zsoltne@szerencsiszc.hu</t>
  </si>
  <si>
    <t>30/415-2991; 56/425-844; hicsogy@szolmusz.hu</t>
  </si>
  <si>
    <t>70/669-4923; 27/319-351; dudas.tibor@vszc.hu</t>
  </si>
  <si>
    <t>20/616-7227; szentgyorgyvari@vmszc.hu</t>
  </si>
  <si>
    <t>30/196-7871; 92/313-583; 92/313-613; 92/313-635; 92/314-553/101. mellék; szabo.karoly@zegszakkepzo.hu</t>
  </si>
  <si>
    <t>P.H.</t>
  </si>
  <si>
    <t>06-70/379-4862, pataki.gabriella@bajaiszc.hu</t>
  </si>
  <si>
    <t>Elek Csaba</t>
  </si>
  <si>
    <t>Mátésné Pataki Ágnes</t>
  </si>
  <si>
    <t>Novák Géza</t>
  </si>
  <si>
    <t>Tóth Zsolt</t>
  </si>
  <si>
    <t>Nagy Róbert</t>
  </si>
  <si>
    <t>Kedvezményezett neve
(lenyíló menü)</t>
  </si>
  <si>
    <t>Szakképző intézmény neve
(lenyíló menü)</t>
  </si>
  <si>
    <t>Szakma megnevezése
(lenyíló menü)</t>
  </si>
  <si>
    <t>Egy főre eső normatíva a támogatási időszakra
(Ft)</t>
  </si>
  <si>
    <t>_2019_2020_keresztfélév</t>
  </si>
  <si>
    <t>Bajai SZC Bányai Júlia Technikum és Szakképző Iskola</t>
  </si>
  <si>
    <t>Bajai SZC Jelky András Technikum és Szakképző Iskola</t>
  </si>
  <si>
    <t>Bajai SZC Kalocsai Dózsa György Technikum és Kollégium</t>
  </si>
  <si>
    <t>Bajai SZC Kossuth Zsuzsanna Technikum</t>
  </si>
  <si>
    <t>Baranya_Megyei_SZC</t>
  </si>
  <si>
    <t>Bajai SZC Türr István Technikum</t>
  </si>
  <si>
    <t>Bajai SZC Radnóti Miklós Kollégium</t>
  </si>
  <si>
    <t>Békéscsabai SZC Kemény Gábor Technikum</t>
  </si>
  <si>
    <t>Békéscsabai SZC Kós Károly Technikum és Szakképző Iskola</t>
  </si>
  <si>
    <t>Békéscsabai SZC Nemes Tihamér Technikum és Kollégium</t>
  </si>
  <si>
    <t>Békéscsabai SZC Széchenyi István Két Tanítási Nyelvű Közgazdasági Technikum és Kollégium</t>
  </si>
  <si>
    <t>Békéscsabai SZC Szent-Györgyi Albert Technikum és Kollégium</t>
  </si>
  <si>
    <t>Békéscsabai SZC Trefort Ágoston Technikum, Szakképző Iskola és Kollégium</t>
  </si>
  <si>
    <t>Békéscsabai SZC Vásárhelyi Pál Technikum és Kollégium</t>
  </si>
  <si>
    <t>Békéscsabai SZC Zwack József Technikum és Szakképző Iskola</t>
  </si>
  <si>
    <t>Berettyóújfalui SZC Arany János Gimnázium és Technikum</t>
  </si>
  <si>
    <t>Berettyóújfalui SZC Bessenyei György Technikum</t>
  </si>
  <si>
    <t>Berettyóújfalui SZC Bocskai István Szaképző Iskola és Kollégium</t>
  </si>
  <si>
    <t>Berettyóújfalui SZC Bocskai István Szakképző Iskola</t>
  </si>
  <si>
    <t>Berettyóújfalui SZC Csiha Győző Technikum és Szakképző Iskola</t>
  </si>
  <si>
    <t>Berettyóújfalui SZC Eötvös József Szakképző Iskola</t>
  </si>
  <si>
    <t>Berettyóújfalui SZC József Attila Szakképző Iskola</t>
  </si>
  <si>
    <t>Berettyóújfalui SZC Karacs Ferenc Gimnázium, Technikum és Szakképző Iskola</t>
  </si>
  <si>
    <t>Berettyóújfalui SZC Közgazdasági Technikum</t>
  </si>
  <si>
    <t>Berettyóújfalui SZC Szilágyi Dániel Szakképző Iskola</t>
  </si>
  <si>
    <t>Berettyóújfalui SZC Veres Péter Gimnázium, Technikum és Szakképző Iskola</t>
  </si>
  <si>
    <t>Berettyóújfalui SZC Veress Ferenc Szakképző Iskola</t>
  </si>
  <si>
    <t>Budapesti Gazdasági SZC Giorgio Perlasca Vendéglátóipari Technikum és Szakképző Iskola</t>
  </si>
  <si>
    <t>Heves_Megyei_SZC</t>
  </si>
  <si>
    <t>Budapesti Gazdasági SZC Dobos C. József Vendéglátóipari Technikum és Szakképző Iskola</t>
  </si>
  <si>
    <t>Budapesti Gazdasági SZC Békésy György Technikum</t>
  </si>
  <si>
    <t>Budapesti Gazdasági SZC Belvárosi Technikum</t>
  </si>
  <si>
    <t>Budapesti Gazdasági SZC Berzeviczy Gergely Két Tanítási Nyelvű Közgazdasági Technikum</t>
  </si>
  <si>
    <t>Budapesti Gazdasági SZC Budai Gimnázium és Szakgimnázium</t>
  </si>
  <si>
    <t>Esztergomi_SZC</t>
  </si>
  <si>
    <t>Budapesti Gazdasági SZC Budai Technikum</t>
  </si>
  <si>
    <t>Budapesti Gazdasági SZC Csete Balázs Technikum</t>
  </si>
  <si>
    <t>Budapesti Gazdasági SZC Harsányi János Technikum</t>
  </si>
  <si>
    <t>Nógrád_Megyei_SZC</t>
  </si>
  <si>
    <t>Budapesti Gazdasági SZC Hunfalvy János Két Tanítási Nyelvű Közgazdasági Technikum</t>
  </si>
  <si>
    <t>Budapesti Gazdasági SZC II. Rákóczi Ferenc Technikum</t>
  </si>
  <si>
    <t>Budapesti Gazdasági SZC Károlyi Mihály Két Tanítási Nyelvű Közgazdasági Technikum</t>
  </si>
  <si>
    <t>Budapesti Gazdasági SZC Keleti Károly Közgazdasági Technikum</t>
  </si>
  <si>
    <t>Budapesti Gazdasági SZC Pesterzsébeti Technikum</t>
  </si>
  <si>
    <t>Budapesti Gazdasági SZC Pestszentlőrinci Technikum</t>
  </si>
  <si>
    <t>Budapesti Gazdasági SZC Szász Ferenc Kereskedelmi Technikum és Szakképző Iskola</t>
  </si>
  <si>
    <t>Budapesti Gazdasági SZC Széchenyi István Kereskedelmi Technikum</t>
  </si>
  <si>
    <t>Budapesti Gazdasági SZC Szent István Technikum és Kollégium</t>
  </si>
  <si>
    <t>Budapesti Gazdasági SZC Teleki Blanka Közgazdasági Technikum</t>
  </si>
  <si>
    <t>Budapesti Gazdasági SZC Terézvárosi Technikum és Szakképző Iskola</t>
  </si>
  <si>
    <t>Budapesti Gazdasági SZC Varga István Közgazdasági Technikum</t>
  </si>
  <si>
    <t>Budapesti Gazdasági SZC Vásárhelyi Pál Technikum</t>
  </si>
  <si>
    <t>Tolna_Megyei_SZC</t>
  </si>
  <si>
    <t>Budapesti Gépészeti SZC Arany János Technikum és Szakképző iskola</t>
  </si>
  <si>
    <t>Budapesti Gépészeti SZC Bánki Donát Technikum</t>
  </si>
  <si>
    <t>Budapesti Gépészeti SZC Bethlen Gábor Technikum</t>
  </si>
  <si>
    <t>Budapesti Gépészeti SZC Csonka János Technikum és Szakképző Iskola</t>
  </si>
  <si>
    <t>Budapesti Gépészeti SZC Eötvös Loránd Technikum</t>
  </si>
  <si>
    <t>Budapesti Gépészeti SZC Fáy András Technikum</t>
  </si>
  <si>
    <t>Budapesti Gépészeti SZC Ganz Ábrahám Két Tanítási Nyelvű Technikum</t>
  </si>
  <si>
    <t>Budapesti Gépészeti SZC Katona József Technikum</t>
  </si>
  <si>
    <t>Budapesti Gépészeti SZC Kossuth Lajos Két Tanítási Nyelvű Technikum</t>
  </si>
  <si>
    <t>Budapesti Gépészeti SZC Magyar Hajózási Technikum</t>
  </si>
  <si>
    <t>Budapesti Gépészeti SZC Mechatronikai Technikum</t>
  </si>
  <si>
    <t>Budapesti Gépészeti SZC Öveges József Technikum és Szakképző iskola</t>
  </si>
  <si>
    <t>Budapesti Gépészeti SZC Szily Kálmán Technikum és Kollégium</t>
  </si>
  <si>
    <t>Budapesti Komplex SZC Erzsébet Királyné Szépészeti Technikum</t>
  </si>
  <si>
    <t>Budapesti Komplex SZC Gundel Károly Vendéglátó és Turisztikai Technikum</t>
  </si>
  <si>
    <t>Budapesti Komplex SZC Kaesz Gyula Faipari Technikum és Szakképző Iskola</t>
  </si>
  <si>
    <t>Budapesti Komplex SZC Kézművesipari Technikum</t>
  </si>
  <si>
    <t>Budapesti Komplex SZC Mándy Iván Szakképző Iskola és Szakiskola</t>
  </si>
  <si>
    <t>Budapesti Komplex SZC Kreatív Technikum</t>
  </si>
  <si>
    <t>Budapesti Komplex SZC Pogány Frigyes Technikum</t>
  </si>
  <si>
    <t>Budapesti Komplex SZC Schulek Frigyes Két Tanítási Nyelvű Építőipari Technikum</t>
  </si>
  <si>
    <t>Budapesti Komplex SZC Szamos Mátyás Technikum és Szakképző Iskola</t>
  </si>
  <si>
    <t>Budapesti Komplex SZC Weiss Manfréd Technikum, Szakképző Iskola és Kollégium</t>
  </si>
  <si>
    <t>Budapesti Komplex SZC Ybl Miklós Építőipari Technikum és Szakképző Iskola</t>
  </si>
  <si>
    <t>Budapesti Műszaki SZC Bláthy Ottó Titusz Informatikai Technikum</t>
  </si>
  <si>
    <t>Budapesti Műszaki SZC Bolyai János Műszaki Technikum és Kollégium</t>
  </si>
  <si>
    <t>Budapesti Műszaki SZC Egressy Gábor Két Tanítási Nyelvű Technikum</t>
  </si>
  <si>
    <t>Budapesti Műszaki SZC Neumann János Informatikai Technikum</t>
  </si>
  <si>
    <t>Budapesti Műszaki SZC Pataky István Híradásipari és Informatikai Technikum</t>
  </si>
  <si>
    <t>Budapesti Műszaki SZC Petrik Lajos Két Tanítási Nyelvű Technikum</t>
  </si>
  <si>
    <t>Budapesti Műszaki SZC Puskás Tivadar Távközlési és Informatikai Technikum</t>
  </si>
  <si>
    <t>Budapesti Műszaki SZC Than Károly Ökoiskola és Technikum</t>
  </si>
  <si>
    <t>Budapesti Műszaki SZC Trefort Ágoston Két Tanítási Nyelvű Technikum</t>
  </si>
  <si>
    <t>Budapesti Műszaki SZC Újpesti Két Tanítási Nyelvű Műszaki Technikum</t>
  </si>
  <si>
    <t>Budapesti Műszaki SZC Verebély László Technikum</t>
  </si>
  <si>
    <t>Budapesti Műszaki SZC Wesselényi Miklós Műszaki Technikum</t>
  </si>
  <si>
    <t>Ceglédi SZC Bem József Műszaki Technikum és Szakképző Iskola</t>
  </si>
  <si>
    <t>Ceglédi SZC Közgazdasági és Informatikai Technikum</t>
  </si>
  <si>
    <t>Ceglédi SZC Mihály Dénes Szakképző Iskola</t>
  </si>
  <si>
    <t>Ceglédi SZC Nagykátai Ipari Szakképző Iskola</t>
  </si>
  <si>
    <t>Ceglédi SZC Szterényi József Technikum és Szakképző Iskola</t>
  </si>
  <si>
    <t>Ceglédi SZC Unghváry László Vendéglátóipari Technikum és Szakképző Iskola</t>
  </si>
  <si>
    <t>Debreceni SZC Baross Gábor Technikum, Szakképző Iskola és Kollégium</t>
  </si>
  <si>
    <t>Debreceni SZC Beregszászi Pál Technikum</t>
  </si>
  <si>
    <t>Debreceni SZC Bethlen Gábor Közgazdasági Technikum</t>
  </si>
  <si>
    <t>Debreceni SZC Brassai Sámuel Műszaki Technikum</t>
  </si>
  <si>
    <t>Debreceni SZC Építéstechnológiai és Műszaki Szakképző Iskola</t>
  </si>
  <si>
    <t>Debreceni SZC Irinyi János Technikum</t>
  </si>
  <si>
    <t>Debreceni SZC Kereskedelmi és Vendéglátóipari Technikum és Szakképző Iskola</t>
  </si>
  <si>
    <t>Debreceni SZC Kreatív Technikum</t>
  </si>
  <si>
    <t>Debreceni SZC Mechwart András Gépipari és Informatikai Technikum</t>
  </si>
  <si>
    <t>Debreceni SZC Péchy Mihály Építőipari Technikum</t>
  </si>
  <si>
    <t>Debreceni SZC Vegyipari Technikum</t>
  </si>
  <si>
    <t>Dunaújvárosi SZC Dunaferr Technikum és Szakképző Iskola</t>
  </si>
  <si>
    <t>Dunaújvárosi SZC Hild József Technikum, Szakképző Iskola és Szakiskola</t>
  </si>
  <si>
    <t>Dunaújvárosi SZC Kereskedelmi és Vendéglátóipari Technikum és Szakképző Iskola</t>
  </si>
  <si>
    <t>Dunaújvárosi SZC Lorántffy Zsuzsanna Technikum és Kollégium</t>
  </si>
  <si>
    <t>Dunaújvárosi SZC Rudas Közgazdasági Technikum és Kollégium</t>
  </si>
  <si>
    <t>Dunaújvárosi SZC Szabolcs Vezér Technikum</t>
  </si>
  <si>
    <t>Heves Megyei SZC Bornemissza Gergely Technikum, Szakképző Iskola és Kollégium</t>
  </si>
  <si>
    <t>Heves Megyei SZC Damjanich János Technikum, Szakképző Iskola és Kollégium</t>
  </si>
  <si>
    <t>Heves Megyei SZC József Attila Technikum, Szakképző Iskola és Kollégium</t>
  </si>
  <si>
    <t>Heves Megyei SZC Sárvári Kálmán Technikum, Szakképző Iskola és Kollégium</t>
  </si>
  <si>
    <t>Heves Megyei SZC Kossuth Zsuzsanna Technikum, Szakképző Iskola, Kollégium és Könyvtár</t>
  </si>
  <si>
    <t>Heves Megyei SZC Március 15. Technikum, Szakképző Iskola és Kollégium</t>
  </si>
  <si>
    <t>Heves Megyei SZC Remenyik Zsigmond Technikum</t>
  </si>
  <si>
    <t>Heves Megyei SZC Szent Lőrinc Vendéglátó és Idegenforgalmi Technikum és Szakképző Iskola</t>
  </si>
  <si>
    <t>Érdi SZC Csonka János Műszaki Technikum</t>
  </si>
  <si>
    <t>Érdi SZC Eötvös József Technikum</t>
  </si>
  <si>
    <t>Érdi SZC Kiskunlacházi Technikum és Szakképző Iskola</t>
  </si>
  <si>
    <t>Érdi SZC Kós Károly Technikum</t>
  </si>
  <si>
    <t>Érdi SZC Kossuth Zsuzsanna Szakképző Iskola és Kollégium</t>
  </si>
  <si>
    <t>Érdi SZC Százhalombattai Széchenyi István Technikum és Gimnázium</t>
  </si>
  <si>
    <t>Győri SZC Baross Gábor Két Tanítási Nyelvű Közgazdasági Technikum</t>
  </si>
  <si>
    <t>Győri SZC Bercsényi Miklós Közlekedési és Sportiskolai Technikum</t>
  </si>
  <si>
    <t>Győri SZC Deák Ferenc Közgazdasági Technikum</t>
  </si>
  <si>
    <t>Győri SZC Gábor László Építő- és Faipari Szakképző Iskola</t>
  </si>
  <si>
    <t>Győri SZC Haller János Általános Iskola</t>
  </si>
  <si>
    <t>Győri SZC Hild József Építőipari Technikum</t>
  </si>
  <si>
    <t>Győri SZC Hunyadi Mátyás Technikum</t>
  </si>
  <si>
    <t>Győri SZC Jedlik Ányos Gépipari és Informatikai Technikum és Kollégium</t>
  </si>
  <si>
    <t>Győri SZC Kossuth Lajos Technikum és Kollégium</t>
  </si>
  <si>
    <t>Győri SZC Krúdy Gyula Turisztikai és Vendéglátóipari Technikum</t>
  </si>
  <si>
    <t>Győri SZC Baksa Kálmán Két Tanítási Nyelvű Gimnázium</t>
  </si>
  <si>
    <t>Győri SZC Lukács Sándor Járműipari és Gépészeti Technikum és Kollégium</t>
  </si>
  <si>
    <t>Győri SZC Sport és Kreatív Technikum</t>
  </si>
  <si>
    <t>Győri SZC Móra Ferenc Általános Iskola</t>
  </si>
  <si>
    <t>Győri SZC Bolyai János Technikum</t>
  </si>
  <si>
    <t>Győri SZC Bolyai János Általános Iskola</t>
  </si>
  <si>
    <t>Győri SZC Pálffy Miklós Kereskedelmi és Logisztikai Technikum</t>
  </si>
  <si>
    <t>Győri SZC Pattantyús-Ábrahám Géza Technikum</t>
  </si>
  <si>
    <t>Gyulai SZC Ady Endre-Bay Zoltán Technikum és Szakképző Iskola</t>
  </si>
  <si>
    <t>Gyulai SZC Dévaványai Technikum, Szakképző Iskola és Kollégium</t>
  </si>
  <si>
    <t>Gyulai SZC Harruckern János Technikum, Szakképző Iskola és Kollégium</t>
  </si>
  <si>
    <t>Gyulai SZC Kossuth Lajos Technikum, Szakképző Iskola és Kollégium</t>
  </si>
  <si>
    <t>Gyulai SZC Székely Mihály Technikum, Szakképző Iskola és Kollégium</t>
  </si>
  <si>
    <t>Gyulai SZC Szigeti Endre Technikum és Szakképző Iskola</t>
  </si>
  <si>
    <t>Hódmezővásárhelyi SZC Szentesi Boros Sámuel Technikum</t>
  </si>
  <si>
    <t>Hódmezővásárhelyi SZC Corvin Mátyás Technikum és Szakképző Iskola</t>
  </si>
  <si>
    <t>Hódmezővásárhelyi SZC Eötvös József Technikum</t>
  </si>
  <si>
    <t>Hódmezővásárhelyi SZC Makói Návay Lajos Technikum és Kollégium</t>
  </si>
  <si>
    <t>Hódmezővásárhelyi SZC Szentesi Pollák Antal Technikum</t>
  </si>
  <si>
    <t>Hódmezővásárhelyi SZC Csongrádi Sághy Mihály Technikum, Szakképző Iskola és Kollégium</t>
  </si>
  <si>
    <t>Hódmezővásárhelyi SZC Szentesi Zsoldos Ferenc Technikum</t>
  </si>
  <si>
    <t>Hódmezővásárhelyi SZC Cseresnyés Kollégium</t>
  </si>
  <si>
    <t>Kaposvári SZC Lamping József Technikum és Szakképző Iskola</t>
  </si>
  <si>
    <t>Kaposvári SZC Barcsi Szakképző Iskola</t>
  </si>
  <si>
    <t>Kaposvári SZC Dráva Völgye Technikum és Gimnázium</t>
  </si>
  <si>
    <t>Kaposvári SZC Eötvös Loránd Műszaki Technikum és Kollégium</t>
  </si>
  <si>
    <t>Kaposvári SZC Jálics Ernő Szakképző Iskola és Szakiskola</t>
  </si>
  <si>
    <t>Kaposvári SZC Nagyatádi Ady Endre Technikum és Gimnázium</t>
  </si>
  <si>
    <t>Kaposvári SZC Nagyatádi Szakképző Iskola</t>
  </si>
  <si>
    <t>Kaposvári SZC Noszlopy Gáspár Közgazdasági Technikum</t>
  </si>
  <si>
    <t>Kaposvári SZC Rudnay Gyula Szakképző Iskola és Kollégium</t>
  </si>
  <si>
    <t>Kaposvári SZC Széchenyi István Technikum és Szakképző Iskola</t>
  </si>
  <si>
    <t>Kaposvári SZC Barcsi Kollégium</t>
  </si>
  <si>
    <t>Karcagi SZC Hámori András Technikum és Szakképző Iskola</t>
  </si>
  <si>
    <t>Karcagi SZC Kunszentmártoni Technikum és Szakképző Iskola</t>
  </si>
  <si>
    <t>Karcagi SZC Lábassy János Technikum és Szakképző Iskola</t>
  </si>
  <si>
    <t>Karcagi SZC Mezőtúri Szakképző Iskola és Kollégium</t>
  </si>
  <si>
    <t>Karcagi SZC Nagy László Gimnázium, Technikum és Szakképző Iskola</t>
  </si>
  <si>
    <t>Karcagi SZC Teleki Blanka Gimnázium, Technikum és Kollégium</t>
  </si>
  <si>
    <t>Karcagi SZC Ványai Ambrus Technikum, Szakképző Iskola és Kollégium</t>
  </si>
  <si>
    <t>Karcagi SZC Varró István Technikum, Szakképző Iskola és Kollégium</t>
  </si>
  <si>
    <t>Kecskeméti SZC Fazekas István Szakiskola</t>
  </si>
  <si>
    <t>Kecskeméti SZC Gáspár András Technikum</t>
  </si>
  <si>
    <t>Kecskeméti SZC Gróf Károlyi Sándor Technikum</t>
  </si>
  <si>
    <t>Kecskeméti SZC Kada Elek Technikum</t>
  </si>
  <si>
    <t>Kecskeméti SZC Kandó Kálmán Technikum</t>
  </si>
  <si>
    <t>Kecskeméti SZC Széchenyi István Technikum</t>
  </si>
  <si>
    <t>Kecskeméti SZC Szent-Györgyi Albert Technikum</t>
  </si>
  <si>
    <t>Kecskeméti SZC Tiszakécskei Kiss Bálint Szakképző Iskola</t>
  </si>
  <si>
    <t>Kecskeméti SZC Virágh Gedeon Technikum</t>
  </si>
  <si>
    <t>Kecskeméti SZC Kollégium</t>
  </si>
  <si>
    <t>Kiskunhalasi SZC Dékáni Árpád Technikum</t>
  </si>
  <si>
    <t>Kiskunhalasi SZC Kiskőrösi Wattay Technikum és Kollégium</t>
  </si>
  <si>
    <t>Kiskunhalasi SZC Kiskunfélegyházi Kossuth Lajos Technikum, Szakképző Iskola és Kollégium</t>
  </si>
  <si>
    <t>Kiskunhalasi SZC Kiskunfélegyházi Közgazdasági Technikum</t>
  </si>
  <si>
    <t>Kiskunhalasi SZC Vári Szabó István Szakképző Iskola és Kollégium</t>
  </si>
  <si>
    <t>Kisvárdai SZC Fehérgyarmati Petőfi Sándor Technikum</t>
  </si>
  <si>
    <t>Kisvárdai SZC II. Rákóczi Ferenc Technikum és Szakképző Iskola</t>
  </si>
  <si>
    <t>Kisvárdai SZC Kandó Kálmán Technikum és Dr. Béres József Kollégium</t>
  </si>
  <si>
    <t>Kisvárdai SZC Móricz Zsigmond Szakképző Iskola</t>
  </si>
  <si>
    <t>Mátészalkai SZC Bethlen Gábor Technikum, Szakképző Iskola és Kollégium</t>
  </si>
  <si>
    <t>Mátészalkai SZC Budai Nagy Antal Technikum és Szakgimnázium</t>
  </si>
  <si>
    <t>Mátészalkai SZC Déri Miksa Technikum, Szakképző Iskola és Kollégium</t>
  </si>
  <si>
    <t>Mátészalkai SZC Gépészeti Technikum és Kollégium</t>
  </si>
  <si>
    <t>Mátészalkai SZC Kállay Rudolf Szakképző Iskola</t>
  </si>
  <si>
    <t>Miskolci SZC Andrássy Gyula Gépipari Technikum</t>
  </si>
  <si>
    <t>Miskolci SZC Baross Gábor Üzleti és Közlekedési Technikum</t>
  </si>
  <si>
    <t>Miskolci SZC Berzeviczy Gergely Technikum</t>
  </si>
  <si>
    <t>Miskolci SZC Bláthy Ottó Villamosipari Technikum</t>
  </si>
  <si>
    <t>Miskolci SZC Kandó Kálmán Informatikai Technikum</t>
  </si>
  <si>
    <t>Miskolci SZC Kós Károly Építőipari, Kreatív Technikum és Szakképző Iskola</t>
  </si>
  <si>
    <t>Miskolci SZC Mezőcsáti Gimnázium és Szakképző Iskola</t>
  </si>
  <si>
    <t>Miskolci SZC Mezőkövesdi Szent László Gimnázium és Közgazdasági Technikum</t>
  </si>
  <si>
    <t>Miskolci SZC Szemere Bertalan Technikum, Szakképző Iskola és Kollégium</t>
  </si>
  <si>
    <t>Miskolci SZC Szentpáli István Kereskedelmi és Vendéglátó Technikum és Szakképző Iskola</t>
  </si>
  <si>
    <t>Nagykanizsai SZC Cserháti Sándor Technikum és Kollégium</t>
  </si>
  <si>
    <t>Nagykanizsai SZC Thúry György Technikum</t>
  </si>
  <si>
    <t>Nagykanizsai SZC Zsigmondy Vilmos Technikum</t>
  </si>
  <si>
    <t>Nyíregyházi SZC Bánki Donát Műszaki Technikum és Kollégium</t>
  </si>
  <si>
    <t>Nyíregyházi SZC Bencs László Szakképző Iskola</t>
  </si>
  <si>
    <t>Nyíregyházi SZC Inczédy György Szakképző Iskola és Kollégium</t>
  </si>
  <si>
    <t>Nyíregyházi SZC Sipkay Barna Technikum</t>
  </si>
  <si>
    <t>Nyíregyházi SZC Széchenyi István Technikum és Kollégium</t>
  </si>
  <si>
    <t>Nyíregyházi SZC Teleki Blanka Szakképző Iskola és Kollégium</t>
  </si>
  <si>
    <t>Nyíregyházi SZC Tiszavasvári Szakképző Iskola és Kollégium</t>
  </si>
  <si>
    <t>Nyíregyházi SZC Vásárhelyi Pál Technikum</t>
  </si>
  <si>
    <t>Nyíregyházi SZC Wesselényi Miklós Technikum és Kollégium</t>
  </si>
  <si>
    <t>Nyíregyházi SZC Zay Anna Technikum és Kollégium</t>
  </si>
  <si>
    <t>Ózdi SZC Bródy Imre Technikum</t>
  </si>
  <si>
    <t>Ózdi SZC Deák Ferenc Technikum és Szakképző Iskola</t>
  </si>
  <si>
    <t>Ózdi SZC Gábor Áron Technikum és Szakképző Iskola</t>
  </si>
  <si>
    <t>Ózdi SZC Pattantyús-Ábrahám Géza Szakképző Iskola</t>
  </si>
  <si>
    <t>Ózdi SZC Surányi Endre Technikum, Szakképző Iskola és Kollégium</t>
  </si>
  <si>
    <t>Pápai SZC Acsády Ignác Technikum és Szakképző Iskola</t>
  </si>
  <si>
    <t>Pápai SZC Egry József Technikum, Szakképző Iskola és Kollégium</t>
  </si>
  <si>
    <t>Pápai SZC Faller Jenő Technikum, Szakképző Iskola és Kollégium</t>
  </si>
  <si>
    <t>Pápai SZC Jókai Mór Közgazdasági Technikum és Kollégium</t>
  </si>
  <si>
    <t>Pápai SZC Reguly Antal Szakképző Iskola és Kollégium</t>
  </si>
  <si>
    <t>Baranya Megyei SZC Angster József Szakképző Iskola és Szakiskola</t>
  </si>
  <si>
    <t>Baranya Megyei SZC Garai Miklós Technikum és Szakképző Iskola</t>
  </si>
  <si>
    <t>Baranya Megyei SZC II. Béla Technikum és Kollégium</t>
  </si>
  <si>
    <t>Baranya Megyei SZC Komlói Technikum, Szakképző Iskola és Kollégium</t>
  </si>
  <si>
    <t>Baranya Megyei SZC Mohácsi Radnóti Miklós Technikum és Szakképző Iskola</t>
  </si>
  <si>
    <t>Baranya Megyei SZC Pollack Mihály Technikum és Kollégium</t>
  </si>
  <si>
    <t>Baranya Megyei SZC Radnóti Miklós Közgazdasági Technikum</t>
  </si>
  <si>
    <t>Baranya Megyei SZC Sásdi Vendéglátóipari Szakképző Iskola</t>
  </si>
  <si>
    <t>Baranya Megyei SZC Simonyi Károly Technikum és Szakképző Iskola</t>
  </si>
  <si>
    <t>Baranya Megyei SZC Zipernowsky Károly Műszaki Technikum</t>
  </si>
  <si>
    <t>Baranya Megyei SZC Zrínyi Miklós Gimnázium és Szakképző Iskola</t>
  </si>
  <si>
    <t>Baranya Megyei SZC Zsolnay Vilmos Technikum és Szakképző Iskola</t>
  </si>
  <si>
    <t>Nógrád Megyei SZC Borbély Lajos Technikum, Szakképző Iskola és Kollégium</t>
  </si>
  <si>
    <t>Nógrád Megyei SZC Kereskedelmi és Vendéglátóipari Technikum és Szakképző Iskola</t>
  </si>
  <si>
    <t>Nógrád Megyei SZC Mikszáth Kálmán Technikum és Szakképző Iskola</t>
  </si>
  <si>
    <t>Nógrád Megyei SZC Stromfeld Aurél Technikum</t>
  </si>
  <si>
    <t>Nógrád Megyei SZC Szent-Györgyi Albert Technikum</t>
  </si>
  <si>
    <t>Nógrád Megyei SZC Szondi György Technikum és Szakképző Iskola</t>
  </si>
  <si>
    <t>Nógrád Megyei SZC Táncsics Mihály Technikum</t>
  </si>
  <si>
    <t>Siófoki SZC Bacsák György Technikum és Szakképző Iskola</t>
  </si>
  <si>
    <t>Siófoki SZC Baross Gábor Technikum és Szakképző Iskola</t>
  </si>
  <si>
    <t>Siófoki SZC Krúdy Gyula Technikum és Gimnázium</t>
  </si>
  <si>
    <t>Siófoki SZC Mathiász János Technikum és Gimnázium</t>
  </si>
  <si>
    <t>Soproni SZC Berg Gusztáv Szakképző Iskola</t>
  </si>
  <si>
    <t>Soproni SZC Kossuth Lajos Szakképző Iskola</t>
  </si>
  <si>
    <t>Soproni SZC Fáy András Két Tanítási Nyelvű Közgazdasági Technikum</t>
  </si>
  <si>
    <t>Soproni SZC Handler Nándor Technikum</t>
  </si>
  <si>
    <t>Soproni SZC Hunyadi János Technikum</t>
  </si>
  <si>
    <t>Soproni SZC Vendéglátó, Kereskedelmi Technikum és Kollégium</t>
  </si>
  <si>
    <t>Soproni SZC Porpáczy Aladár Technikum és Kollégium</t>
  </si>
  <si>
    <t>Soproni SZC Vas- és Villamosipari Technikum</t>
  </si>
  <si>
    <t>Szegedi SZC Csonka János Technikum</t>
  </si>
  <si>
    <t>Szegedi SZC Déri Miksa Műszaki Technikum</t>
  </si>
  <si>
    <t>Szegedi SZC Gábor Dénes Technikum és Szakgimnázium</t>
  </si>
  <si>
    <t>Szegedi SZC József Attila Általános Iskola és Szakképző Iskola</t>
  </si>
  <si>
    <t>Szegedi SZC Kőrösy József Közgazdasági Technikum</t>
  </si>
  <si>
    <t>Szegedi SZC Krúdy Gyula Szakképző Iskola</t>
  </si>
  <si>
    <t>Szegedi SZC Móravárosi Szakképző Iskola</t>
  </si>
  <si>
    <t>Szegedi SZC Tóth János Mórahalmi Szakképző Iskola és Garabonciás Kollégium</t>
  </si>
  <si>
    <t>Szegedi SZC Vasvári Pál Gazdasági és Informatikai Technikum</t>
  </si>
  <si>
    <t>Szegedi SZC Vedres István Technikum</t>
  </si>
  <si>
    <t>Székesfehérvári SZC Árpád Technikum, Szakképző Iskola és Kollégium</t>
  </si>
  <si>
    <t>Székesfehérvári SZC Bugát Pál Technikum</t>
  </si>
  <si>
    <t>Székesfehérvári SZC Deák Ferenc Technikum és Szakképző Iskola</t>
  </si>
  <si>
    <t>Székesfehérvári SZC Hunyadi Mátyás Technikum</t>
  </si>
  <si>
    <t>Székesfehérvári SZC I. István Technikum</t>
  </si>
  <si>
    <t>Székesfehérvári SZC Jáky József Technikum</t>
  </si>
  <si>
    <t>Székesfehérvári SZC Perczel Mór Technikum, Szakképző Iskola és Kollégium</t>
  </si>
  <si>
    <t>Székesfehérvári SZC Széchenyi István Műszaki Technikum</t>
  </si>
  <si>
    <t>Székesfehérvári SZC Váci Mihály Technikum, Szakképző Iskola és Kollégium</t>
  </si>
  <si>
    <t>Székesfehérvári SZC Vajda János Technikum</t>
  </si>
  <si>
    <t>Székesfehérvári SZC Vörösmarty Mihály Technikum és Szakképző Iskola</t>
  </si>
  <si>
    <t>Tolna Megyei SZC Ady Endre Technikum és Kollégium</t>
  </si>
  <si>
    <t>Tolna Megyei SZC Apáczai Csere János Technikum és Kollégium</t>
  </si>
  <si>
    <t>Tolna Megyei SZC Bezerédj István Technikum</t>
  </si>
  <si>
    <t>Tolna Megyei SZC I. István Szakképző Iskola</t>
  </si>
  <si>
    <t>Tolna Megyei SZC Magyar László Szakképző Iskola</t>
  </si>
  <si>
    <t>Tolna Megyei SZC Perczel Mór Technikum és Kollégium</t>
  </si>
  <si>
    <t>Tolna Megyei SZC Vályi Péter Szakképző Iskola és Kollégium</t>
  </si>
  <si>
    <t>Tolna Megyei SZC Hunyadi Mátyás Vendéglátó és Turisztikai Technikum és Szakképző Iskola</t>
  </si>
  <si>
    <t>Szerencsi SZC Encsi Aba Sámuel Szakképző Iskola</t>
  </si>
  <si>
    <t>Szerencsi SZC Műszaki és Szolgáltatási Technikum és Szakképző Iskola</t>
  </si>
  <si>
    <t>Szerencsi SZC Sátoraljaújhelyi Kossuth Lajos Technikum, Szakképző Iskola és Gimnázium</t>
  </si>
  <si>
    <t>Szerencsi SZC Sátoraljaújhelyi Trefort Ágoston Szakképző Iskola</t>
  </si>
  <si>
    <t>Szerencsi SZC Tiszaújvárosi Brassai Sámuel Technikum és Szakképző Iskola</t>
  </si>
  <si>
    <t>Szerencsi SZC Tokaji Kereskedelmi és Idegenforgalmi Technikum, Szakképző Iskola és Kollégium</t>
  </si>
  <si>
    <r>
      <t>Szolnoki_</t>
    </r>
    <r>
      <rPr>
        <sz val="11"/>
        <color theme="0"/>
        <rFont val="Calibri"/>
        <family val="2"/>
        <charset val="238"/>
        <scheme val="minor"/>
      </rPr>
      <t>SZC</t>
    </r>
  </si>
  <si>
    <t>Szolnoki SZC Baross Gábor Műszaki Technikum és Szakképző Iskola</t>
  </si>
  <si>
    <t>Szolnoki SZC Damjanich János Szakképző Iskola és Kollégium</t>
  </si>
  <si>
    <t>Szolnoki SZC Jendrassik György Gépipari Technikum</t>
  </si>
  <si>
    <t>Szolnoki SZC Kereskedelmi és Vendéglátóipari Technikum és Szakképző Iskola</t>
  </si>
  <si>
    <t>Szolnoki SZC Klapka György Technikum és Szakképző Iskola</t>
  </si>
  <si>
    <t>Szolnoki SZC Pálfy - Vízügyi Technikum</t>
  </si>
  <si>
    <t>Szolnoki SZC Petőfi Sándor Építészeti és Faipari Technikum és Szakképző Iskola</t>
  </si>
  <si>
    <t>Szolnoki SZC Rózsa Imre Technikum</t>
  </si>
  <si>
    <t>Szolnoki SZC Kreatív Technikum és Szakképző Iskola</t>
  </si>
  <si>
    <t>Szolnoki SZC Sipos Orbán Szakképző Iskola és Kollégium</t>
  </si>
  <si>
    <t>Szolnoki SZC Vásárhelyi Pál Két Tanítási Nyelvű Technikum</t>
  </si>
  <si>
    <t>Tatabányai SZC Alapy Gáspár Technikum és Szakképző Iskola</t>
  </si>
  <si>
    <t>Tatabányai SZC Bánki Donát Szakképző Iskola</t>
  </si>
  <si>
    <t>Tatabányai SZC Bánki Donát-Péch Antal Technikum</t>
  </si>
  <si>
    <t>Tatabányai SZC Bláthy Ottó Technikum, Szakképző Iskola és Kollégium</t>
  </si>
  <si>
    <t>Tatabányai SZC Eötvös Loránd Szakképző Iskola</t>
  </si>
  <si>
    <t>Tatabányai SZC Fellner Jakab Technikum és Szakképző Iskola</t>
  </si>
  <si>
    <t>Tatabányai SZC Kereskedelmi, Vendéglátó és Idegenforgalmi Technikum és Szakképző Iskola</t>
  </si>
  <si>
    <t>Tatabányai SZC Kossuth Lajos Gazdasági és Humán Technikum</t>
  </si>
  <si>
    <t>Tatabányai SZC Kultsár István Technikum és Szakgimnázium</t>
  </si>
  <si>
    <t>Tatabányai SZC Mikes Kelemen Technikum és Szakgimnázium</t>
  </si>
  <si>
    <t>Tatabányai SZC Széchenyi István Gazdasági és Informatikai Technikum</t>
  </si>
  <si>
    <t>Esztergomi SZC Balassa Bálint Gazdasági Technikum és Szakképző Iskola</t>
  </si>
  <si>
    <t>Esztergomi SZC Bottyán János Technikum</t>
  </si>
  <si>
    <t>Esztergomi SZC Géza Fejedelem Technikum és Szakképző Iskola</t>
  </si>
  <si>
    <t>Váci SZC Boronkay György Műszaki Technikum és Gimnázium</t>
  </si>
  <si>
    <t>Váci SZC I. Géza Király Közgazdasági Technikum</t>
  </si>
  <si>
    <t>Váci SZC Király Endre Technikum és Szakképző Iskola</t>
  </si>
  <si>
    <t>Váci SZC Madách Imre Technikum és Szakképző Iskola</t>
  </si>
  <si>
    <t>Váci SZC Petőfi Sándor Műszaki Technikum, Gimnázium és Kollégium</t>
  </si>
  <si>
    <t>Váci SZC Petzelt József Technikum és Szakképző Iskola</t>
  </si>
  <si>
    <t>Váci SZC Selye János Egészségügyi Technikum</t>
  </si>
  <si>
    <t>Váci SZC Bocskai István Kollégium</t>
  </si>
  <si>
    <t>Vas Megyei SZC Barabás György Műszaki Szakképző Iskola</t>
  </si>
  <si>
    <t>Vas Megyei SZC Eötvös Loránd Szakképző Iskola</t>
  </si>
  <si>
    <t>Vas Megyei SZC Gépipari és Informatikai Technikum</t>
  </si>
  <si>
    <t>Vas Megyei SZC Hefele Menyhért Szakképző Iskola</t>
  </si>
  <si>
    <t>Vas Megyei SZC Horváth Boldizsár Közgazdasági és Informatikai Technikum</t>
  </si>
  <si>
    <t>Vas Megyei SZC Kereskedelmi és Vendéglátó Technikum és Kollégium</t>
  </si>
  <si>
    <t>Vas Megyei SZC Nádasdy Tamás Technikum és Kollégium</t>
  </si>
  <si>
    <t>Vas Megyei SZC Oladi Technikum</t>
  </si>
  <si>
    <t>Vas Megyei SZC Puskás Tivadar Szakképző Iskola és Kollégium</t>
  </si>
  <si>
    <t>Vas Megyei SZC Rázsó Imre Technikum</t>
  </si>
  <si>
    <t>Vas Megyei SZC Savaria Technikum és Kollégium</t>
  </si>
  <si>
    <t>Vas Megyei SZC Sárvári Tinódi Gimnázium</t>
  </si>
  <si>
    <t>Vas Megyei SZC Sárvári Turisztikai Technikum</t>
  </si>
  <si>
    <t>Veszprémi SZC "SÉF" Vendéglátás-Turizmus Technikum és Szakképző Iskola</t>
  </si>
  <si>
    <t>Veszprémi SZC Ipari Technikum</t>
  </si>
  <si>
    <t>Veszprémi SZC Jendrassik-Venesz Technikum</t>
  </si>
  <si>
    <t>Veszprémi SZC Bethlen István Közgazdasági és Közigazgatási Technikum</t>
  </si>
  <si>
    <t>Veszprémi SZC Öveges József Technikum és Kollégium</t>
  </si>
  <si>
    <t>Veszprémi SZC Szent-Györgyi Albert Technikum és Kollégium</t>
  </si>
  <si>
    <t>Veszprémi SZC Táncsics Mihály Technikum</t>
  </si>
  <si>
    <t>Zalaegerszegi SZC Báthory István Technikum</t>
  </si>
  <si>
    <t>Zalaegerszegi SZC Csány László Technikum</t>
  </si>
  <si>
    <t>Zalaegerszegi SZC Deák Ferenc Technikum</t>
  </si>
  <si>
    <t>Zalaegerszegi SZC Ganz Ábrahám Technikum</t>
  </si>
  <si>
    <t>Zalaegerszegi SZC Keszthelyi Asbóth Sándor Technikum, Szakképző Iskola és Kollégium</t>
  </si>
  <si>
    <t>Zalaegerszegi SZC Keszthelyi Közgazdasági Technikum</t>
  </si>
  <si>
    <t>Zalaegerszegi SZC Keszthelyi Vendéglátó Technikum, Szakképző Iskola és Kollégium</t>
  </si>
  <si>
    <t>Zalaegerszegi SZC Lámfalussy Sándor Szakképző Iskola</t>
  </si>
  <si>
    <t>Zalaegerszegi SZC Széchenyi István Technikum</t>
  </si>
  <si>
    <t>1149 Budapest, Várna utca 23.</t>
  </si>
  <si>
    <t>Derczbach Tamás</t>
  </si>
  <si>
    <t>Dienes Zoltán Tibor</t>
  </si>
  <si>
    <t>Heves Megye Szakképzési Centrum</t>
  </si>
  <si>
    <t>Esztergomi Szakképzési Centrum</t>
  </si>
  <si>
    <t>15845388-2-11</t>
  </si>
  <si>
    <t>15845388-8532-312-11</t>
  </si>
  <si>
    <t>Dr. Németh Szilárd Péter</t>
  </si>
  <si>
    <t>Hana György</t>
  </si>
  <si>
    <t>Esztergom</t>
  </si>
  <si>
    <t>Szabó István</t>
  </si>
  <si>
    <t>3600 Ózd, Kiserdőalja 1.</t>
  </si>
  <si>
    <t>Nagy Zsuzsanna</t>
  </si>
  <si>
    <t>Baranya Megyei Szakképzési Centrum</t>
  </si>
  <si>
    <t>Nógrád Megyei Szakképzési Centrum</t>
  </si>
  <si>
    <t>20/415-8888; 22/514-060; kancellar@szfszc.hu</t>
  </si>
  <si>
    <t>Szépvölgyi Emese</t>
  </si>
  <si>
    <t>Tolna Megyei Szakképzési Centrum</t>
  </si>
  <si>
    <t>Tolna Megyei  Szakképzési Centrum</t>
  </si>
  <si>
    <t>15845395-2-11</t>
  </si>
  <si>
    <t>15845395-8532-312-11</t>
  </si>
  <si>
    <t>Schmidt Csaba</t>
  </si>
  <si>
    <t>30/228-7500; kancellar@tszc.hu</t>
  </si>
  <si>
    <t>Pákozdi Szabolcs</t>
  </si>
  <si>
    <t>Pap Máté</t>
  </si>
  <si>
    <t>20/341-1315; papmate@veszpremszc.hu</t>
  </si>
  <si>
    <t>kapcsolattartójának elérhetősége 
(telefon, e-mail cím):</t>
  </si>
  <si>
    <t>Adatok</t>
  </si>
  <si>
    <t>…………………………….</t>
  </si>
  <si>
    <t>_2020_2021_ősz</t>
  </si>
  <si>
    <t xml:space="preserve"> F</t>
  </si>
  <si>
    <t xml:space="preserve"> A</t>
  </si>
  <si>
    <t xml:space="preserve"> B</t>
  </si>
  <si>
    <t xml:space="preserve"> C</t>
  </si>
  <si>
    <t xml:space="preserve"> D</t>
  </si>
  <si>
    <t xml:space="preserve"> E</t>
  </si>
  <si>
    <t xml:space="preserve"> H</t>
  </si>
  <si>
    <t xml:space="preserve"> J</t>
  </si>
  <si>
    <t xml:space="preserve"> Szakma azonosító száma</t>
  </si>
  <si>
    <t>Ágazat</t>
  </si>
  <si>
    <t xml:space="preserve"> Képzési terület</t>
  </si>
  <si>
    <t>Vegyipar</t>
  </si>
  <si>
    <t>0722</t>
  </si>
  <si>
    <t>Építőipar</t>
  </si>
  <si>
    <t>0732</t>
  </si>
  <si>
    <t>Általános ápoló</t>
  </si>
  <si>
    <t>Egészségügy</t>
  </si>
  <si>
    <t>Alternatív járműhajtási technikus</t>
  </si>
  <si>
    <t>Specializált gép- és járműgyártás</t>
  </si>
  <si>
    <t>0716</t>
  </si>
  <si>
    <t>Fa- és bútoripar</t>
  </si>
  <si>
    <t>Elektronika és elektrotechnika</t>
  </si>
  <si>
    <t>0714</t>
  </si>
  <si>
    <t>Bányaipari technikus</t>
  </si>
  <si>
    <t>Bányászat és kohászat</t>
  </si>
  <si>
    <t>0724</t>
  </si>
  <si>
    <t>Bor- és pezsgőgyártó technikus</t>
  </si>
  <si>
    <t>Élelmiszeripar</t>
  </si>
  <si>
    <t>Bőrtermékkészítő</t>
  </si>
  <si>
    <t>Kreatív</t>
  </si>
  <si>
    <t>0723</t>
  </si>
  <si>
    <t>CNC-programozó</t>
  </si>
  <si>
    <t>Gépészet</t>
  </si>
  <si>
    <t>0715</t>
  </si>
  <si>
    <t>Turizmus-vendéglátás</t>
  </si>
  <si>
    <t>Cukrász szaktechnikus</t>
  </si>
  <si>
    <t>0212</t>
  </si>
  <si>
    <t>Divat-, jelmez- és díszlettervező</t>
  </si>
  <si>
    <t>Divatszabó</t>
  </si>
  <si>
    <t>Édességkészítő</t>
  </si>
  <si>
    <t>Egészségügyi asszisztens</t>
  </si>
  <si>
    <t>Egészségügyi laboráns</t>
  </si>
  <si>
    <t>0713</t>
  </si>
  <si>
    <t>Élelmiszer-ellenőrzési technikus</t>
  </si>
  <si>
    <t>Élelmiszeripari gépkezelő</t>
  </si>
  <si>
    <t>Építő-, szállító- és munkagép-szerelő</t>
  </si>
  <si>
    <t>Épületgépészet</t>
  </si>
  <si>
    <t>Mezőgazdaság és erdészet</t>
  </si>
  <si>
    <t>Erdőművelő-fakitermelő</t>
  </si>
  <si>
    <t>Erjedés- és üdítőital-ipari technikus</t>
  </si>
  <si>
    <t>Erjedés- és üdítőital-ipari termékkészítő</t>
  </si>
  <si>
    <t>Fegyvergyártó szaktechnikus</t>
  </si>
  <si>
    <t>Honvédelem</t>
  </si>
  <si>
    <t>Fegyverműszerész technikus</t>
  </si>
  <si>
    <t>Fegyveroptikai szaktechnikus</t>
  </si>
  <si>
    <t>Fémelőállító</t>
  </si>
  <si>
    <t>Sport</t>
  </si>
  <si>
    <t>Fluidumkitermelő</t>
  </si>
  <si>
    <t>Szépészet</t>
  </si>
  <si>
    <t>Egészségügyi technika</t>
  </si>
  <si>
    <t>0911</t>
  </si>
  <si>
    <t>Fotográfus</t>
  </si>
  <si>
    <t>0213</t>
  </si>
  <si>
    <t>0811</t>
  </si>
  <si>
    <t>Gépész technikus</t>
  </si>
  <si>
    <t>Gépgyártás-technológiai technikus</t>
  </si>
  <si>
    <t>Gépi és CNC forgácsoló</t>
  </si>
  <si>
    <t>Gépjármű-mechatronikai technikus</t>
  </si>
  <si>
    <t>Gyermek- és ifjúsági felügyelő</t>
  </si>
  <si>
    <t>Szociális</t>
  </si>
  <si>
    <t>0711</t>
  </si>
  <si>
    <t>Közlekedés és szállítmányozás</t>
  </si>
  <si>
    <t>Hangtechnikus</t>
  </si>
  <si>
    <t>0211</t>
  </si>
  <si>
    <t>Hentes és húskészítmény-készítő</t>
  </si>
  <si>
    <t>Honvéd altiszt</t>
  </si>
  <si>
    <t>Honvéd kadét</t>
  </si>
  <si>
    <t>Hulladékfeldolgozó munkatárs</t>
  </si>
  <si>
    <t>Környezetvédelem és vízügy</t>
  </si>
  <si>
    <t>Húsipari technikus</t>
  </si>
  <si>
    <t>Hűtő- és szellőzésrendszer-szerelő</t>
  </si>
  <si>
    <t>Idegen nyelvű ipari és kereskedelmi technikus</t>
  </si>
  <si>
    <t>Kereskedelem</t>
  </si>
  <si>
    <t>Infokommunikációs hálózatépítő és -üzemeltető technikus</t>
  </si>
  <si>
    <t>Informatika és távközlés</t>
  </si>
  <si>
    <t>Informatikai rendszer- és alkalmazás-üzemeltető technikus</t>
  </si>
  <si>
    <t>Ipari informatikai technikus</t>
  </si>
  <si>
    <t>Ipari szerviztechnikus</t>
  </si>
  <si>
    <t>Járműkarosszéria-előkészítő, felületbevonó</t>
  </si>
  <si>
    <t>Képesített hajós</t>
  </si>
  <si>
    <t>Kerámia- és porcelánkészítő</t>
  </si>
  <si>
    <t>0214</t>
  </si>
  <si>
    <t>Kereskedelmi értékesítő</t>
  </si>
  <si>
    <t>0416</t>
  </si>
  <si>
    <t>Kereskedő és webáruházi technikus</t>
  </si>
  <si>
    <t>Kertésztechnikus</t>
  </si>
  <si>
    <t>Kéz- és lábápoló technikus</t>
  </si>
  <si>
    <t>Kishajóépítő és -karbantartó</t>
  </si>
  <si>
    <t>Kistermelői élelmiszer-előállító</t>
  </si>
  <si>
    <t>Kocsivizsgáló technikus</t>
  </si>
  <si>
    <t>Kohász- és öntésztechnikus</t>
  </si>
  <si>
    <t>Kozmetikus technikus</t>
  </si>
  <si>
    <t>Könnyűipari technikus</t>
  </si>
  <si>
    <t>Közszolgálati technikus</t>
  </si>
  <si>
    <t>Rendészet és közszolgálat</t>
  </si>
  <si>
    <t>0413</t>
  </si>
  <si>
    <t>Légijármű-műszerész technikus</t>
  </si>
  <si>
    <t>Légijármű-szerelő technikus</t>
  </si>
  <si>
    <t>Logisztikai technikus</t>
  </si>
  <si>
    <t>Mechatronikus karbantartó</t>
  </si>
  <si>
    <t>Műanyag-feldolgozó</t>
  </si>
  <si>
    <t>Műanyag-feldolgozó technikus</t>
  </si>
  <si>
    <t>Nyomdász</t>
  </si>
  <si>
    <t>Optikaitermék-készítő</t>
  </si>
  <si>
    <t>Optikus</t>
  </si>
  <si>
    <t>0915</t>
  </si>
  <si>
    <t>Öntvénykészítő</t>
  </si>
  <si>
    <t>Panziós-fogadós</t>
  </si>
  <si>
    <t>Papírgyártó és -feldolgozó, csomagolószer-gyártó</t>
  </si>
  <si>
    <t>Papírgyártó és -feldolgozó, csomagolószer-gyártó technikus</t>
  </si>
  <si>
    <t>Gazdálkodás és menedzsment</t>
  </si>
  <si>
    <t>Perioperatív szakasszisztens</t>
  </si>
  <si>
    <t>Pincér - vendégtéri szakember</t>
  </si>
  <si>
    <t>Radiográfiai szakasszisztens</t>
  </si>
  <si>
    <t>Rendészeti őr</t>
  </si>
  <si>
    <t>Rendőr tiszthelyettes</t>
  </si>
  <si>
    <t>Sportedző (a sportág megjelölésével) - sportszervező</t>
  </si>
  <si>
    <t>Sütő- és cukrászipari technikus</t>
  </si>
  <si>
    <t>Szakács szaktechnikus</t>
  </si>
  <si>
    <t>Szerkezetépítő és -szerelő</t>
  </si>
  <si>
    <t>Szerszám- és készülékgyártó</t>
  </si>
  <si>
    <t>Szigetelő</t>
  </si>
  <si>
    <t>Színház- és rendezvénytechnikus</t>
  </si>
  <si>
    <t>Szociális ápoló és gondozó</t>
  </si>
  <si>
    <t>Szociális és gyermekvédelmi szakasszisztens</t>
  </si>
  <si>
    <t>Szociális és mentálhigiénés szakgondozó</t>
  </si>
  <si>
    <t>Szociális és rehabilitációs szakgondozó</t>
  </si>
  <si>
    <t>Szoftverfejlesztő és -tesztelő</t>
  </si>
  <si>
    <t>Tartósítóipari technikus</t>
  </si>
  <si>
    <t>Tejipari technikus</t>
  </si>
  <si>
    <t>Tejtermékkészítő</t>
  </si>
  <si>
    <t>Textilgyártó</t>
  </si>
  <si>
    <t>Turisztikai technikus</t>
  </si>
  <si>
    <t>Útépítő és útfenntartó</t>
  </si>
  <si>
    <t>Útépítő, vasútépítő és -fenntartó technikus</t>
  </si>
  <si>
    <t>Vállalkozási ügyviteli ügyintéző</t>
  </si>
  <si>
    <t>Vasútforgalmi szolgálattevő technikus</t>
  </si>
  <si>
    <t>Vasútijármű-szerelő technikus</t>
  </si>
  <si>
    <t>Vendégtéri szaktechnikus</t>
  </si>
  <si>
    <t>Víz- és csatornarendszer-szerelő</t>
  </si>
  <si>
    <t>Vízügyi munkatárs</t>
  </si>
  <si>
    <t>Vízügyi technikus</t>
  </si>
  <si>
    <t>Szakképesítés elnevezése</t>
  </si>
  <si>
    <t>02155007</t>
  </si>
  <si>
    <t>02155008</t>
  </si>
  <si>
    <t>02155009</t>
  </si>
  <si>
    <t>02155010</t>
  </si>
  <si>
    <t>02155011</t>
  </si>
  <si>
    <t>02155012</t>
  </si>
  <si>
    <t>02154001</t>
  </si>
  <si>
    <t>02154002</t>
  </si>
  <si>
    <t>02154003</t>
  </si>
  <si>
    <t>02154004</t>
  </si>
  <si>
    <t>02154005</t>
  </si>
  <si>
    <t>02154006</t>
  </si>
  <si>
    <t>07144001</t>
  </si>
  <si>
    <t>04163001</t>
  </si>
  <si>
    <t>08115001</t>
  </si>
  <si>
    <t>04164013</t>
  </si>
  <si>
    <t>04163010</t>
  </si>
  <si>
    <t>07225007</t>
  </si>
  <si>
    <t>07233001</t>
  </si>
  <si>
    <t>07234002</t>
  </si>
  <si>
    <t>09214001</t>
  </si>
  <si>
    <t>09115003</t>
  </si>
  <si>
    <t xml:space="preserve">Digitális montírozó és nyomóforma készítő </t>
  </si>
  <si>
    <t>07224003</t>
  </si>
  <si>
    <t>07324001</t>
  </si>
  <si>
    <t>07115004</t>
  </si>
  <si>
    <t>04163016</t>
  </si>
  <si>
    <t>07323004</t>
  </si>
  <si>
    <t>02155017</t>
  </si>
  <si>
    <t>02155020</t>
  </si>
  <si>
    <t>02154013</t>
  </si>
  <si>
    <t>02154014</t>
  </si>
  <si>
    <t>02154015</t>
  </si>
  <si>
    <t>02154016</t>
  </si>
  <si>
    <t>04164002</t>
  </si>
  <si>
    <t>07143002</t>
  </si>
  <si>
    <t>04163011</t>
  </si>
  <si>
    <t>07223006</t>
  </si>
  <si>
    <t>07223011</t>
  </si>
  <si>
    <t>04164003</t>
  </si>
  <si>
    <t>02114002</t>
  </si>
  <si>
    <t>05314001</t>
  </si>
  <si>
    <t>07223005</t>
  </si>
  <si>
    <t>09115001</t>
  </si>
  <si>
    <t>07993002</t>
  </si>
  <si>
    <t>07153002</t>
  </si>
  <si>
    <t>07223010</t>
  </si>
  <si>
    <t>07115003</t>
  </si>
  <si>
    <t>07135013</t>
  </si>
  <si>
    <t>07323005</t>
  </si>
  <si>
    <t>07133004</t>
  </si>
  <si>
    <t>07134001</t>
  </si>
  <si>
    <t>04164005</t>
  </si>
  <si>
    <t>04884001</t>
  </si>
  <si>
    <t>07223001</t>
  </si>
  <si>
    <t>07133003</t>
  </si>
  <si>
    <t>04163009</t>
  </si>
  <si>
    <t>02155027</t>
  </si>
  <si>
    <t>02155028</t>
  </si>
  <si>
    <t>02155029</t>
  </si>
  <si>
    <t>02155030</t>
  </si>
  <si>
    <t>02155031</t>
  </si>
  <si>
    <t>02155032</t>
  </si>
  <si>
    <t>02154021</t>
  </si>
  <si>
    <t>02154022</t>
  </si>
  <si>
    <t>02154023</t>
  </si>
  <si>
    <t>02154024</t>
  </si>
  <si>
    <t>02154025</t>
  </si>
  <si>
    <t>02154026</t>
  </si>
  <si>
    <t>07223009</t>
  </si>
  <si>
    <t>02134001</t>
  </si>
  <si>
    <t>02134002</t>
  </si>
  <si>
    <t>02134003</t>
  </si>
  <si>
    <t>02134004</t>
  </si>
  <si>
    <t>02134005</t>
  </si>
  <si>
    <t>02134006</t>
  </si>
  <si>
    <t>02134007</t>
  </si>
  <si>
    <t>02134008</t>
  </si>
  <si>
    <t>02134009</t>
  </si>
  <si>
    <t>02134010</t>
  </si>
  <si>
    <t>07134010</t>
  </si>
  <si>
    <t>07134007</t>
  </si>
  <si>
    <t>02155042</t>
  </si>
  <si>
    <t>02155043</t>
  </si>
  <si>
    <t>02155044</t>
  </si>
  <si>
    <t>02155045</t>
  </si>
  <si>
    <t>02155046</t>
  </si>
  <si>
    <t>02155047</t>
  </si>
  <si>
    <t>02155048</t>
  </si>
  <si>
    <t>02155049</t>
  </si>
  <si>
    <t>02155050</t>
  </si>
  <si>
    <t>02154033</t>
  </si>
  <si>
    <t>02154034</t>
  </si>
  <si>
    <t>02154035</t>
  </si>
  <si>
    <t>02154036</t>
  </si>
  <si>
    <t>02154037</t>
  </si>
  <si>
    <t>02154038</t>
  </si>
  <si>
    <t>02154039</t>
  </si>
  <si>
    <t>02154040</t>
  </si>
  <si>
    <t>02154041</t>
  </si>
  <si>
    <t>02115001</t>
  </si>
  <si>
    <t>07233005</t>
  </si>
  <si>
    <t>07134006</t>
  </si>
  <si>
    <t>04134001</t>
  </si>
  <si>
    <t>02124001</t>
  </si>
  <si>
    <t>07134009</t>
  </si>
  <si>
    <t>07243001</t>
  </si>
  <si>
    <t>07153003</t>
  </si>
  <si>
    <t>07234003</t>
  </si>
  <si>
    <t>07223004</t>
  </si>
  <si>
    <t>04163008</t>
  </si>
  <si>
    <t>07115002</t>
  </si>
  <si>
    <t>04164004</t>
  </si>
  <si>
    <t>02143002</t>
  </si>
  <si>
    <t>02143004</t>
  </si>
  <si>
    <t>02143008</t>
  </si>
  <si>
    <t>02143009</t>
  </si>
  <si>
    <t>02143005</t>
  </si>
  <si>
    <t>02143011</t>
  </si>
  <si>
    <t>02142001</t>
  </si>
  <si>
    <t>02143003</t>
  </si>
  <si>
    <t>02143006</t>
  </si>
  <si>
    <t>02143012</t>
  </si>
  <si>
    <t>02143013</t>
  </si>
  <si>
    <t>02143007</t>
  </si>
  <si>
    <t>02143014</t>
  </si>
  <si>
    <t>02143015</t>
  </si>
  <si>
    <t>02143010</t>
  </si>
  <si>
    <t>02155056</t>
  </si>
  <si>
    <t>02155057</t>
  </si>
  <si>
    <t>02155058</t>
  </si>
  <si>
    <t>02155059</t>
  </si>
  <si>
    <t>02155060</t>
  </si>
  <si>
    <t>02154051</t>
  </si>
  <si>
    <t>02154052</t>
  </si>
  <si>
    <t>02154053</t>
  </si>
  <si>
    <t>02154054</t>
  </si>
  <si>
    <t>02154055</t>
  </si>
  <si>
    <t>04164014</t>
  </si>
  <si>
    <t>07224002</t>
  </si>
  <si>
    <t>07154001</t>
  </si>
  <si>
    <t>09115002</t>
  </si>
  <si>
    <t>01194001</t>
  </si>
  <si>
    <t>01194002</t>
  </si>
  <si>
    <t>07994001</t>
  </si>
  <si>
    <t>04163007</t>
  </si>
  <si>
    <t>02155063</t>
  </si>
  <si>
    <t>02155064</t>
  </si>
  <si>
    <t>02154061</t>
  </si>
  <si>
    <t>02154062</t>
  </si>
  <si>
    <t>02155072</t>
  </si>
  <si>
    <t>02155073</t>
  </si>
  <si>
    <t>02155074</t>
  </si>
  <si>
    <t>02155075</t>
  </si>
  <si>
    <t>02155076</t>
  </si>
  <si>
    <t>02155071</t>
  </si>
  <si>
    <t>02154066</t>
  </si>
  <si>
    <t>02154067</t>
  </si>
  <si>
    <t>02154068</t>
  </si>
  <si>
    <t>02154069</t>
  </si>
  <si>
    <t>02154070</t>
  </si>
  <si>
    <t>02154065</t>
  </si>
  <si>
    <t>07234006</t>
  </si>
  <si>
    <t>02155081</t>
  </si>
  <si>
    <t>02155082</t>
  </si>
  <si>
    <t>02155083</t>
  </si>
  <si>
    <t>02155084</t>
  </si>
  <si>
    <t>02154077</t>
  </si>
  <si>
    <t>02154078</t>
  </si>
  <si>
    <t>02154079</t>
  </si>
  <si>
    <t>02154080</t>
  </si>
  <si>
    <t>07233004</t>
  </si>
  <si>
    <t>04163017</t>
  </si>
  <si>
    <t>07323006</t>
  </si>
  <si>
    <t>04165006</t>
  </si>
  <si>
    <t>07223008</t>
  </si>
  <si>
    <t>07165002</t>
  </si>
  <si>
    <t>04163012</t>
  </si>
  <si>
    <t>07115001</t>
  </si>
  <si>
    <t>07134012</t>
  </si>
  <si>
    <t>07134002</t>
  </si>
  <si>
    <t>07134011</t>
  </si>
  <si>
    <t>07134005</t>
  </si>
  <si>
    <t>07134008</t>
  </si>
  <si>
    <t>07164001</t>
  </si>
  <si>
    <t>07324002</t>
  </si>
  <si>
    <t>07993003</t>
  </si>
  <si>
    <t>Tervezett összes óraszám</t>
  </si>
  <si>
    <t>Szakképesítés száma</t>
  </si>
  <si>
    <t xml:space="preserve">
Elvi támogatási összeg a támogatási időszakra (létszám * egy főre eső normatíva)
(Ft)</t>
  </si>
  <si>
    <t>Számított támogatási előleg a támogatási időszakra
(Ft)</t>
  </si>
  <si>
    <t>Fenntartó</t>
  </si>
  <si>
    <t>Innovációs és Technológiai Minisztérium</t>
  </si>
  <si>
    <t>Agrárminisztérium</t>
  </si>
  <si>
    <t>Ágazat megnevezése</t>
  </si>
  <si>
    <t>Szakma száma</t>
  </si>
  <si>
    <t>02135011</t>
  </si>
  <si>
    <t>02135012</t>
  </si>
  <si>
    <t>02145018</t>
  </si>
  <si>
    <t>02144019</t>
  </si>
  <si>
    <t>02145020</t>
  </si>
  <si>
    <t>02154085</t>
  </si>
  <si>
    <t>02154086</t>
  </si>
  <si>
    <t>02154087</t>
  </si>
  <si>
    <t>02154088</t>
  </si>
  <si>
    <t>02154089</t>
  </si>
  <si>
    <t>03145001</t>
  </si>
  <si>
    <t>03225001</t>
  </si>
  <si>
    <t>0411</t>
  </si>
  <si>
    <t>04115001</t>
  </si>
  <si>
    <t>04134002</t>
  </si>
  <si>
    <t>04153001</t>
  </si>
  <si>
    <t>04165018</t>
  </si>
  <si>
    <t>05313002</t>
  </si>
  <si>
    <t>05313003</t>
  </si>
  <si>
    <t>05325001</t>
  </si>
  <si>
    <t>0613</t>
  </si>
  <si>
    <t>06135001</t>
  </si>
  <si>
    <t>06135002</t>
  </si>
  <si>
    <t>06135003</t>
  </si>
  <si>
    <t>06134004</t>
  </si>
  <si>
    <t>06134005</t>
  </si>
  <si>
    <t>06134006</t>
  </si>
  <si>
    <t>06134007</t>
  </si>
  <si>
    <t>06195001</t>
  </si>
  <si>
    <t>06195002</t>
  </si>
  <si>
    <t>06195003</t>
  </si>
  <si>
    <t>06195004</t>
  </si>
  <si>
    <t>06194005</t>
  </si>
  <si>
    <t>06194006</t>
  </si>
  <si>
    <t>07003001</t>
  </si>
  <si>
    <t>07135014</t>
  </si>
  <si>
    <t>07134015</t>
  </si>
  <si>
    <t>07134016</t>
  </si>
  <si>
    <t>07134017</t>
  </si>
  <si>
    <t>07134018</t>
  </si>
  <si>
    <t>07134019</t>
  </si>
  <si>
    <t>07133020</t>
  </si>
  <si>
    <t>07134021</t>
  </si>
  <si>
    <t>07133022</t>
  </si>
  <si>
    <t>07134023</t>
  </si>
  <si>
    <t>07134024</t>
  </si>
  <si>
    <t>07134025</t>
  </si>
  <si>
    <t>07134026</t>
  </si>
  <si>
    <t>07134027</t>
  </si>
  <si>
    <t>07134028</t>
  </si>
  <si>
    <t>07134029</t>
  </si>
  <si>
    <t>07145003</t>
  </si>
  <si>
    <t>07154005</t>
  </si>
  <si>
    <t>07153006</t>
  </si>
  <si>
    <t>07153007</t>
  </si>
  <si>
    <t>07153008</t>
  </si>
  <si>
    <t>0721</t>
  </si>
  <si>
    <t>07214001</t>
  </si>
  <si>
    <t>07214002</t>
  </si>
  <si>
    <t>07214003</t>
  </si>
  <si>
    <t>07224012</t>
  </si>
  <si>
    <t>07223013</t>
  </si>
  <si>
    <t>07223014</t>
  </si>
  <si>
    <t>07243002</t>
  </si>
  <si>
    <t>07294001</t>
  </si>
  <si>
    <t>07315001</t>
  </si>
  <si>
    <t>07324007</t>
  </si>
  <si>
    <t>07323008</t>
  </si>
  <si>
    <t>07324009</t>
  </si>
  <si>
    <t>07325010</t>
  </si>
  <si>
    <t>07324011</t>
  </si>
  <si>
    <t>07993004</t>
  </si>
  <si>
    <t>07993005</t>
  </si>
  <si>
    <t>0810</t>
  </si>
  <si>
    <t>08104001</t>
  </si>
  <si>
    <t>08113002</t>
  </si>
  <si>
    <t>08114003</t>
  </si>
  <si>
    <t>08113004</t>
  </si>
  <si>
    <t>0812</t>
  </si>
  <si>
    <t>08125001</t>
  </si>
  <si>
    <t>08194001</t>
  </si>
  <si>
    <t>08195002</t>
  </si>
  <si>
    <t>08192003</t>
  </si>
  <si>
    <t xml:space="preserve">Koszorúkészítő </t>
  </si>
  <si>
    <t>0821</t>
  </si>
  <si>
    <t>08212001</t>
  </si>
  <si>
    <t>08213002</t>
  </si>
  <si>
    <t>08313001</t>
  </si>
  <si>
    <t>08415001</t>
  </si>
  <si>
    <t>08883001</t>
  </si>
  <si>
    <t>08884002</t>
  </si>
  <si>
    <t>Ágazaton kívüli</t>
  </si>
  <si>
    <t xml:space="preserve">Személy és vagyonőr </t>
  </si>
  <si>
    <t>Alföldi Agrárszakképzési Centrum</t>
  </si>
  <si>
    <t>Alföldi ASzC Bársony István Mezőgazdasági Technikum, Szakképző Iskola és Kollégium</t>
  </si>
  <si>
    <t>Alföldi ASzC Bartha János Kertészeti Technikum és Szakképző Iskola</t>
  </si>
  <si>
    <t>Alföldi ASzC Bedő Albert Erdészeti Technikum, Szakképző Iskola és Kollégium</t>
  </si>
  <si>
    <t>Alföldi ASzC Bethlen Gábor Mezőgazdasági és Élelmiszeripari Technikum, Szakképző Iskola és Kollégium</t>
  </si>
  <si>
    <t>Alföldi ASzC Fodor József Élelmiszeripari Technikum és Szakképző Iskola</t>
  </si>
  <si>
    <t>Alföldi ASzC Galamb József Mezőgazdasági Technikum és Szakképző Iskola</t>
  </si>
  <si>
    <t>Alföldi ASzC Gregus Máté Mezőgazdasági Technikum és Szakképző Iskola</t>
  </si>
  <si>
    <t>Alföldi ASzC Kenderesi Mezőgazdasági Technikum, Szakképző Iskola és Kollégium</t>
  </si>
  <si>
    <t>Alföldi ASzC Kétegyházai Mezőgazdasági Technikum, Szakképző Iskola és Kollégium</t>
  </si>
  <si>
    <t>Alföldi ASzC Kiss Ferenc Erdészeti Technikum</t>
  </si>
  <si>
    <t>Déli Agrárszakképzési Centrum</t>
  </si>
  <si>
    <t>Déli ASzC Apponyi Sándor Mezőgazdasági Technikum, Szakképző Iskola és Kollégium</t>
  </si>
  <si>
    <t>Déli ASzC Bereczki Máté Mezőgazdasági és Élelmiszeripari Technikum, Szakképző Iskola</t>
  </si>
  <si>
    <t>Déli ASzC Csapó Dániel Mezőgazdasági Technikum, Szakképző Iskola és Kollégium</t>
  </si>
  <si>
    <t>Déli ASzC Kinizsi Pál Élelmiszeripari Technikum és Szakképző Iskola</t>
  </si>
  <si>
    <t>Déli ASzC Kiskunfélegyházi Mezőgazdasági és Élelmiszeripari Technikum, Szakképző Iskola és Kollégium</t>
  </si>
  <si>
    <t>Déli ASzC Kocsis Pál Mezőgazdasági és Környezetvédelmi Technikum és Szakképző Iskola</t>
  </si>
  <si>
    <t>Déli ASzC Móricz Zsigmond Mezőgazdasági Technikum, Szakképző Iskola és Kollégium</t>
  </si>
  <si>
    <t>Déli ASzC Sellyei Mezőgazdasági Technikum, Szakképző Iskola és Kollégium</t>
  </si>
  <si>
    <t>Déli ASzC Széchenyi Zsigmond Mezőgazdasági Technikum, Szakképző Iskola és Kollégium</t>
  </si>
  <si>
    <t>Déli ASzC Teleki Zsigmond Mezőgazdasági Technikum, Szakképző Iskola és Kollégium</t>
  </si>
  <si>
    <t>Déli ASzC Ujhelyi Imre Mezőgazdasági Technikum, Szakképző Iskola és Kollégium</t>
  </si>
  <si>
    <t>Északi Agrárszakképzési Centrum</t>
  </si>
  <si>
    <t>Északi ASzC Bárczay János Mezőgazdasági Technikum, Szakképző Iskola és Kollégium</t>
  </si>
  <si>
    <t>Északi ASzC Baross László Mezőgazdasági Technikum, Szakképző Iskola és Kollégium</t>
  </si>
  <si>
    <t>Északi ASzC Debreczeni Márton Mezőgazdasági és Élelmiszeripari Technikum és Szakképző Iskola</t>
  </si>
  <si>
    <t>Északi ASzC Lippai János Mezőgazdasági Technikum és Szakképző Iskola</t>
  </si>
  <si>
    <t>Északi ASzC Mátra Erdészeti Technikum, Szakképző Iskola és Kollégium</t>
  </si>
  <si>
    <t>Északi ASzC Pétervásárai Mezőgazdasági Technikum, Szakképző Iskola és Kollégium</t>
  </si>
  <si>
    <t>Északi ASzC Serényi Béla Mezőgazdasági Technikum és Szakképző Iskola</t>
  </si>
  <si>
    <t>Északi ASzC Széchenyi István Mezőgazdasági és Élelmiszeripari Technikum, Szakképző Iskola és Kollégium</t>
  </si>
  <si>
    <t>Északi ASzC Tokaji Mezőgazdasági Technikum, Szakképző Iskola és Kollégium</t>
  </si>
  <si>
    <t>Északi ASzC Vay Ádám Mezőgazdasági Technikum, Szakképző Iskola és Kollégium</t>
  </si>
  <si>
    <t>4400 Nyíregyháza, Semmelweis utca 15.</t>
  </si>
  <si>
    <t>Északi ASzC Westsik Vilmos Élelmiszeripari Technikum és Szakképző Iskola</t>
  </si>
  <si>
    <t>Kisalföldi Agrárszakképzési Centrum</t>
  </si>
  <si>
    <t>Kisalföldi ASzC Batthyány Lajos Mezőgazdasági és Élelmiszeripari Technikum, Szakképző Iskola és Kollégium</t>
  </si>
  <si>
    <t>Kisalföldi ASzC Csukás Zoltán Mezőgazdasági Technikum és Szakképző Iskola</t>
  </si>
  <si>
    <t>Kisalföldi ASzC Dr. Entz Ferenc Mezőgazdasági Technikum, Szakképző Iskola és Kollégium</t>
  </si>
  <si>
    <t>Kisalföldi ASzC Eötvös József Technikum, Szakképző Iskola és Kollégium</t>
  </si>
  <si>
    <t>Kisalföldi ASzC Herman Ottó Környezetvédelmi és Mezőgazdasági Technikum, Szakképző Iskola és Kollégium</t>
  </si>
  <si>
    <t>Kisalföldi ASzC Jávorka Sándor Mezőgazdasági és Élelmiszeripari Technikum, Szakképző Iskola és Kollégium</t>
  </si>
  <si>
    <t>Kisalföldi ASzC Pettkó-Szandtner Tibor Lovas Szakképző Iskola és Kollégium</t>
  </si>
  <si>
    <t>9400 Sopron, Szent György utca 9.</t>
  </si>
  <si>
    <t>Kisalföldi ASzC Szent István Mezőgazdasági és Élelmiszeripari Technikum és Szakképző Iskola</t>
  </si>
  <si>
    <t>Kisalföldi ASzC Szombathelyi Élelmiszeripari és Földmérési Technikum, Szakképző Iskola és Kollégium</t>
  </si>
  <si>
    <t>Kisalföldi ASzC Vépi Mezőgazdasági Technikum, Szakképző Iskola és Kollégium</t>
  </si>
  <si>
    <t>Kisalföldi ASzC Veres Péter Mezőgazdasági és Élelmiszeripari Technikum, Szakképző Iskola és Kollégium</t>
  </si>
  <si>
    <t>Közép-magyarországi ASzC Bercsényi Miklós Élelmiszeripari Technikum, Szakképző Iskola és Kollégium</t>
  </si>
  <si>
    <t>Közép-magyarországi ASzC Dr. Szepesi László Mezőgazdasági Technikum, Szakképző Iskola és Kollégium</t>
  </si>
  <si>
    <t>Közép-magyarországi ASzC Fáy András Mezőgazdasági Technikum, Szakképző Iskola és Kollégium</t>
  </si>
  <si>
    <t>Közép-magyarországi ASzC Lipthay Béla Mezőgazdasági és Élelmiszeripari Technikum, Szakképző Iskola és Kollégium</t>
  </si>
  <si>
    <t>Közép-magyarországi ASzC Magyar Gyula Kertészeti Technikum és Szakképző Iskola</t>
  </si>
  <si>
    <t>Közép-magyarországi ASzC Pálóczi Horváth István Mezőgazdasági Technikum, Szakképző Iskola és Kollégium</t>
  </si>
  <si>
    <t>Közép-magyarországi ASzC Pesti Barnabás Élelmiszeripari Technikum és Szakképző Iskola</t>
  </si>
  <si>
    <t>Közép-magyarországi ASzC Soós István Borászati Technikum és Szakképző Iskola</t>
  </si>
  <si>
    <t>Közép-magyarországi ASzC Táncsics Mihály Mezőgazdasági Technikum, Szakképző Iskola és Kollégium</t>
  </si>
  <si>
    <t>Közép-magyarországi ASzC Toldi Miklós Élelmiszeripari Technikum, Szakképző Iskola és Kollégium</t>
  </si>
  <si>
    <t>Közép-magyarországi ASzC Varga Márton Kertészeti és Földmérési Technikum és Kollégium</t>
  </si>
  <si>
    <t>Körmend</t>
  </si>
  <si>
    <t>Belügyminisztérium</t>
  </si>
  <si>
    <t>Miskolci Rendvédelmi Technikum</t>
  </si>
  <si>
    <t>029328</t>
  </si>
  <si>
    <t>Szentendre</t>
  </si>
  <si>
    <t>Magyar Honvédség Altiszti Akadémia</t>
  </si>
  <si>
    <t>Fenntartók</t>
  </si>
  <si>
    <t>Kedvezményezettek</t>
  </si>
  <si>
    <t>Honvédelmi_Minisztérium</t>
  </si>
  <si>
    <t>Innovációs_és_Technológiai_Minisztérium</t>
  </si>
  <si>
    <t>Alföldi_Agrárszakképzési_Centrum</t>
  </si>
  <si>
    <t>Déli_Agrárszakképzési_Centrum</t>
  </si>
  <si>
    <t>Északi_Agrárszakképzési_Centrum</t>
  </si>
  <si>
    <t>Kisalföldi_Agrárszakképzési_Centrum</t>
  </si>
  <si>
    <t>Körmendi Rendvédelmi Technikum</t>
  </si>
  <si>
    <t>Kratochvil Károly Honvéd Középiskola és Kollégium</t>
  </si>
  <si>
    <t>Kratochvil_Károly_Honvéd_Középiskola_és_Kollégium</t>
  </si>
  <si>
    <t>Magyar_Honvédség_Altiszti_Akadémia</t>
  </si>
  <si>
    <t>Körmendi_Rendvédelmi_Technikum</t>
  </si>
  <si>
    <t>Miskolci_Rendvédelmi_Technikum</t>
  </si>
  <si>
    <r>
      <t xml:space="preserve">Szakképzési centrum vagy szakképző intézmény </t>
    </r>
    <r>
      <rPr>
        <b/>
        <u/>
        <sz val="10"/>
        <color theme="1"/>
        <rFont val="Calibri"/>
        <family val="2"/>
        <charset val="238"/>
        <scheme val="minor"/>
      </rPr>
      <t>fenntartójának</t>
    </r>
    <r>
      <rPr>
        <b/>
        <sz val="10"/>
        <color theme="1"/>
        <rFont val="Calibri"/>
        <family val="2"/>
        <charset val="238"/>
        <scheme val="minor"/>
      </rPr>
      <t xml:space="preserve"> neve
(lenyíló menü)</t>
    </r>
  </si>
  <si>
    <r>
      <rPr>
        <b/>
        <u/>
        <sz val="10"/>
        <color theme="1"/>
        <rFont val="Calibri"/>
        <family val="2"/>
        <charset val="238"/>
        <scheme val="minor"/>
      </rPr>
      <t>Kedvezményezett</t>
    </r>
    <r>
      <rPr>
        <b/>
        <sz val="10"/>
        <color theme="1"/>
        <rFont val="Calibri"/>
        <family val="2"/>
        <charset val="238"/>
        <scheme val="minor"/>
      </rPr>
      <t xml:space="preserve"> neve
(lenyíló menü)</t>
    </r>
  </si>
  <si>
    <r>
      <rPr>
        <b/>
        <u/>
        <sz val="10"/>
        <color theme="1"/>
        <rFont val="Calibri"/>
        <family val="2"/>
        <charset val="238"/>
        <scheme val="minor"/>
      </rPr>
      <t>Szakképző intézmény</t>
    </r>
    <r>
      <rPr>
        <b/>
        <sz val="10"/>
        <color theme="1"/>
        <rFont val="Calibri"/>
        <family val="2"/>
        <charset val="238"/>
        <scheme val="minor"/>
      </rPr>
      <t xml:space="preserve"> neve
(lenyíló menü)</t>
    </r>
  </si>
  <si>
    <r>
      <rPr>
        <b/>
        <u/>
        <sz val="10"/>
        <color theme="1"/>
        <rFont val="Calibri"/>
        <family val="2"/>
        <charset val="238"/>
        <scheme val="minor"/>
      </rPr>
      <t>Felnőttképzési szerződéssel rendelkező</t>
    </r>
    <r>
      <rPr>
        <b/>
        <sz val="10"/>
        <color theme="1"/>
        <rFont val="Calibri"/>
        <family val="2"/>
        <charset val="238"/>
        <scheme val="minor"/>
      </rPr>
      <t>, képzésben részt vevő személyek száma
(fő)</t>
    </r>
  </si>
  <si>
    <t>Minimális óraszám
(program-követelmény szerint)</t>
  </si>
  <si>
    <t>Maximális óraszám
(program-követelmény szerint)</t>
  </si>
  <si>
    <t>Ágazat megnevezése
(programkövetelmény szerint)</t>
  </si>
  <si>
    <t>A szakképzési centrum részeként működő szakképző intézmények (új elnevezés), vagy szakképző intézmények</t>
  </si>
  <si>
    <t>Közép_magyarországi_Agrárszakképzési_Centrum</t>
  </si>
  <si>
    <t>Fenntartó, vagy fenntartó fenntartója</t>
  </si>
  <si>
    <t>Kedvezményezett rövid neve</t>
  </si>
  <si>
    <t>Kedvezményezett teljes neve</t>
  </si>
  <si>
    <t>Közép magyarországi Agrárszakképzési Centrum</t>
  </si>
  <si>
    <t>Szakmai oktatás</t>
  </si>
  <si>
    <t>Szakmai képzés</t>
  </si>
  <si>
    <t>Egyéb képzés</t>
  </si>
  <si>
    <t>6640 Csongrád, Kis-Tisza utca 4/a.</t>
  </si>
  <si>
    <t>15823481-8532-312-06</t>
  </si>
  <si>
    <t>Kancellár, vezető elérhetősége (telefon, e-mail cím)</t>
  </si>
  <si>
    <t>Vári László</t>
  </si>
  <si>
    <t>7100 Szekszárd, Palánk 19.</t>
  </si>
  <si>
    <t>15329918-8532-312-17</t>
  </si>
  <si>
    <t>Jeszenka Ildikó</t>
  </si>
  <si>
    <t>036410</t>
  </si>
  <si>
    <t>15823254-2-15</t>
  </si>
  <si>
    <t>15823254-8532-312-15</t>
  </si>
  <si>
    <t>Vislóczki Zoltán</t>
  </si>
  <si>
    <t>033699</t>
  </si>
  <si>
    <t>15833002-2-08</t>
  </si>
  <si>
    <t>15833002-8532-312-08</t>
  </si>
  <si>
    <t>Szabó László Gábor</t>
  </si>
  <si>
    <t>030728</t>
  </si>
  <si>
    <t>1062 Budapest, Andrássy út 63-65.</t>
  </si>
  <si>
    <t>15823175-8532-312-01</t>
  </si>
  <si>
    <t>Földesi Gyula</t>
  </si>
  <si>
    <t>035269</t>
  </si>
  <si>
    <t>9900 Körmend, Alkotmány utca 5-7.</t>
  </si>
  <si>
    <t>15720900-2-51</t>
  </si>
  <si>
    <t>15720900-8532-312-18</t>
  </si>
  <si>
    <t>Hollósi Gábor</t>
  </si>
  <si>
    <t>051408</t>
  </si>
  <si>
    <t>3526 Miskolc, Szentpéteri kapu 78.</t>
  </si>
  <si>
    <t>15722665-2-51</t>
  </si>
  <si>
    <t>15823175-2-42</t>
  </si>
  <si>
    <t>15329918-2-17</t>
  </si>
  <si>
    <t>15823481-2-06</t>
  </si>
  <si>
    <t>15722665-8532-312-05</t>
  </si>
  <si>
    <t>Bagi István</t>
  </si>
  <si>
    <t xml:space="preserve"> 229979</t>
  </si>
  <si>
    <t>102493</t>
  </si>
  <si>
    <t>_2017_2018_keresztfélév - Szakképesítések megnevezése</t>
  </si>
  <si>
    <t>_2017_2018_keresztfélév - Szakképesítések OKJ száma</t>
  </si>
  <si>
    <t>_2018_2019_ősz-től - Szakképesítések OKJ száma</t>
  </si>
  <si>
    <t>_2018_2019_ősz-től - Szakképesítések megnevezése2</t>
  </si>
  <si>
    <t>_2018_2019_ősz-től - Szakképesítések megnevezése4</t>
  </si>
  <si>
    <t>Két éves, érettségi vizsgára felkészítő képzés technikumban</t>
  </si>
  <si>
    <t>Vezető neve</t>
  </si>
  <si>
    <t>Vezető beosztása</t>
  </si>
  <si>
    <t>kancellár</t>
  </si>
  <si>
    <t>igazgató</t>
  </si>
  <si>
    <t>4027 Debrecen, Füredi út 69.</t>
  </si>
  <si>
    <t>15816014-1-51</t>
  </si>
  <si>
    <t xml:space="preserve"> 15816014-8532-312-09</t>
  </si>
  <si>
    <t>Kovács István</t>
  </si>
  <si>
    <t>342951</t>
  </si>
  <si>
    <t>2000 Szentendre, Dózsa György út 12-14.</t>
  </si>
  <si>
    <t xml:space="preserve"> 15714170-2-51</t>
  </si>
  <si>
    <t>15714170-8422-312-13</t>
  </si>
  <si>
    <t>Frankó Imre</t>
  </si>
  <si>
    <t>parancsnok</t>
  </si>
  <si>
    <t>276656</t>
  </si>
  <si>
    <t>-</t>
  </si>
  <si>
    <t>_2017_2018_ősz - egyéb képzések</t>
  </si>
  <si>
    <t>031235</t>
  </si>
  <si>
    <t>100526</t>
  </si>
  <si>
    <t>számlavezetője:</t>
  </si>
  <si>
    <t>fizetési számlaszáma:</t>
  </si>
  <si>
    <t>Szakképzési centrum vagy szakképző intézmény fenntartójának neve
(lenyíló menü)</t>
  </si>
  <si>
    <t>ALAPADATOK (TOVÁBBFUTÓ KÉPZÉSEK)</t>
  </si>
  <si>
    <t>Továbbfutó felnőttoktatás - szakképzés és egyéb képzés</t>
  </si>
  <si>
    <t>_2018_2019_ősz-től - Szakképesítések megnevezése + egyéb képzések</t>
  </si>
  <si>
    <t>_2018_2019_ősz-től - Szakképesítések megnevezése3 + egyéb képzések</t>
  </si>
  <si>
    <t>Kőfaragó, műköves és épületszobrász</t>
  </si>
  <si>
    <t>Víz-, csatorna- és közmű-rendszerszerelő</t>
  </si>
  <si>
    <t>Építő-szállító- és munkagép-szerelő</t>
  </si>
  <si>
    <t>_2017_2018_ősz - Szakképesítések OKJ száma</t>
  </si>
  <si>
    <t>1. Szakmai oktatás részletes adatai</t>
  </si>
  <si>
    <t>2. Szakmai képzés részletes adatai</t>
  </si>
  <si>
    <t>képviselője, beosztása:</t>
  </si>
  <si>
    <t>kapcsolattartója, beosztása:</t>
  </si>
  <si>
    <t>Mellékletek:</t>
  </si>
  <si>
    <t>Szakképesítés / képzés megnevezése
(lenyíló menü)</t>
  </si>
  <si>
    <t>n.a.</t>
  </si>
  <si>
    <t>10047004-01392320-00000000</t>
  </si>
  <si>
    <t>Czibók Károly r. ezredes gazd. igazgató-helyettes</t>
  </si>
  <si>
    <t>10027006-00282668-00000000</t>
  </si>
  <si>
    <t>Fekete Gábor, közgazdasági osztályvezető</t>
  </si>
  <si>
    <t>06-30/400-4510, czibokk@krvt.police.hu</t>
  </si>
  <si>
    <t xml:space="preserve">06-20/264-6450, gfekete@mrvt.hu </t>
  </si>
  <si>
    <t>Heves Megyei Szakképzési Centrum</t>
  </si>
  <si>
    <t>Számlavezető pénzintézet neve</t>
  </si>
  <si>
    <t>Magyar Államkincstár</t>
  </si>
  <si>
    <t>Az elszámolást benyújtó szervezet</t>
  </si>
  <si>
    <t>ELSZÁMOLÁS</t>
  </si>
  <si>
    <t xml:space="preserve">               ELSZÁMOLÁS</t>
  </si>
  <si>
    <t>A felnőttoktatásban tanulói jogviszonyban ténylegesen részt vett személyek száma
(fő)</t>
  </si>
  <si>
    <t>3. Egyéb képzés részletes adatai</t>
  </si>
  <si>
    <r>
      <rPr>
        <b/>
        <u/>
        <sz val="10"/>
        <color theme="1"/>
        <rFont val="Calibri"/>
        <family val="2"/>
        <charset val="238"/>
        <scheme val="minor"/>
      </rPr>
      <t xml:space="preserve">Szakképző intézmény </t>
    </r>
    <r>
      <rPr>
        <b/>
        <sz val="10"/>
        <color theme="1"/>
        <rFont val="Calibri"/>
        <family val="2"/>
        <charset val="238"/>
        <scheme val="minor"/>
      </rPr>
      <t>neve
(lenyíló menü)</t>
    </r>
  </si>
  <si>
    <t>Képzés típusa
(lenyíló menü)</t>
  </si>
  <si>
    <t>Felnőttképzési szerződéssel rendelkező, képzésben részt vevő személyek száma 
(fő)</t>
  </si>
  <si>
    <t xml:space="preserve">
Elvi támogatási összeg a támogatási időszakra (létszám * egy főre eső normatíva)
(Ft)</t>
  </si>
  <si>
    <t>Az egyéb képzésben felnőttképzési szerződéssel ténylegesen részt vett személyek száma
(fő)</t>
  </si>
  <si>
    <t>Összesen (Ft)</t>
  </si>
  <si>
    <t>Képzésben tervezetten részt vevő személyek száma a kérelem alapján
(fő)</t>
  </si>
  <si>
    <t>Képzésben ténylegesen részt vevő személyek száma az elszámolás alapján
(fő)</t>
  </si>
  <si>
    <t>Szépné Holczer Piroska</t>
  </si>
  <si>
    <t>Kavalecz Gábor</t>
  </si>
  <si>
    <t>Lantos Andrea</t>
  </si>
  <si>
    <t>Moldvay Zsolt</t>
  </si>
  <si>
    <t>Dr. Sisák István, főigazgató-helyettes</t>
  </si>
  <si>
    <t>06-30/689-9355; foig.h@aaszc.hu</t>
  </si>
  <si>
    <t>Fazekas Tiborné, gazdasági vezető</t>
  </si>
  <si>
    <t>06-20/935-6640; fazekasne.gy@deliaszc.hu</t>
  </si>
  <si>
    <t>Tarcsa Attiláné, gazdasági vezető-helyettes</t>
  </si>
  <si>
    <t>06-30/823-4205; tarcsane.ildiko@easzc.hu</t>
  </si>
  <si>
    <t>Büki Zoltán,  főigazgató-helyettes</t>
  </si>
  <si>
    <t>06-20/260-1569; buki.zoltan@rothszki.hu</t>
  </si>
  <si>
    <t>Komoriné Zorkóczy Aranka,  főigazgató-helyettes</t>
  </si>
  <si>
    <t>06-20/510-9168; komorine.aranka@kmaszc.hu</t>
  </si>
  <si>
    <t>10028007-00333812-00000000</t>
  </si>
  <si>
    <t>10046003-00283968-00000000</t>
  </si>
  <si>
    <t>10044001-00334033-00000000</t>
  </si>
  <si>
    <t>10033001-00335766-00000000</t>
  </si>
  <si>
    <t>10032000-00333908-00000000</t>
  </si>
  <si>
    <t>10036004-00361556-00000000</t>
  </si>
  <si>
    <t>10036004-00361549-00000000</t>
  </si>
  <si>
    <t>910005</t>
  </si>
  <si>
    <t>2500 Esztergom, Budai Nagy Antal utca 24.</t>
  </si>
  <si>
    <t>Barkován Ferenc</t>
  </si>
  <si>
    <t>Dr. Bugya László,  főigazgató</t>
  </si>
  <si>
    <t>06-30/894-5786; foigazgatosag2019@gmail.com</t>
  </si>
  <si>
    <t>Garaminé Vigánti Márta</t>
  </si>
  <si>
    <t>30/166-0523; 74/529-333; domotor.csaba@tmszc.hu</t>
  </si>
  <si>
    <r>
      <rPr>
        <b/>
        <u/>
        <sz val="10"/>
        <rFont val="Calibri"/>
        <family val="2"/>
        <charset val="238"/>
        <scheme val="minor"/>
      </rPr>
      <t>Tervezett</t>
    </r>
    <r>
      <rPr>
        <b/>
        <sz val="10"/>
        <rFont val="Calibri"/>
        <family val="2"/>
        <charset val="238"/>
        <scheme val="minor"/>
      </rPr>
      <t xml:space="preserve"> </t>
    </r>
    <r>
      <rPr>
        <b/>
        <sz val="10"/>
        <color theme="1"/>
        <rFont val="Calibri"/>
        <family val="2"/>
        <charset val="238"/>
        <scheme val="minor"/>
      </rPr>
      <t xml:space="preserve">képzés esetén a  </t>
    </r>
    <r>
      <rPr>
        <b/>
        <u/>
        <sz val="10"/>
        <color theme="1"/>
        <rFont val="Calibri"/>
        <family val="2"/>
        <charset val="238"/>
        <scheme val="minor"/>
      </rPr>
      <t xml:space="preserve">felnőttképzési szerződéssel még </t>
    </r>
    <r>
      <rPr>
        <b/>
        <u/>
        <sz val="10"/>
        <color rgb="FFFF0000"/>
        <rFont val="Calibri"/>
        <family val="2"/>
        <charset val="238"/>
        <scheme val="minor"/>
      </rPr>
      <t>nem</t>
    </r>
    <r>
      <rPr>
        <b/>
        <u/>
        <sz val="10"/>
        <color theme="1"/>
        <rFont val="Calibri"/>
        <family val="2"/>
        <charset val="238"/>
        <scheme val="minor"/>
      </rPr>
      <t xml:space="preserve"> rendelkező</t>
    </r>
    <r>
      <rPr>
        <b/>
        <sz val="10"/>
        <color theme="1"/>
        <rFont val="Calibri"/>
        <family val="2"/>
        <charset val="238"/>
        <scheme val="minor"/>
      </rPr>
      <t xml:space="preserve">, képzésben részt vevő személyek </t>
    </r>
    <r>
      <rPr>
        <b/>
        <u/>
        <sz val="10"/>
        <color rgb="FFFF0000"/>
        <rFont val="Calibri"/>
        <family val="2"/>
        <charset val="238"/>
        <scheme val="minor"/>
      </rPr>
      <t>tervezett</t>
    </r>
    <r>
      <rPr>
        <b/>
        <sz val="10"/>
        <color theme="1"/>
        <rFont val="Calibri"/>
        <family val="2"/>
        <charset val="238"/>
        <scheme val="minor"/>
      </rPr>
      <t xml:space="preserve"> száma
(fő)</t>
    </r>
  </si>
  <si>
    <r>
      <t xml:space="preserve">Kérelem normatív támogatás biztosítására,
szakképző intézmények szakképzésről szóló törvény szerinti ingyenes képzéseinek 
</t>
    </r>
    <r>
      <rPr>
        <b/>
        <i/>
        <sz val="12"/>
        <color theme="1"/>
        <rFont val="Times New Roman"/>
        <family val="1"/>
        <charset val="238"/>
      </rPr>
      <t xml:space="preserve">- a fejezeti kezelésű előirányzatok és központi kezelésű előirányzatok kezeléséről és felhasználásáról szóló 14/2019. (VI. 12.) ITM rendelet szerinti - </t>
    </r>
    <r>
      <rPr>
        <b/>
        <sz val="12"/>
        <color theme="1"/>
        <rFont val="Times New Roman"/>
        <family val="1"/>
        <charset val="238"/>
      </rPr>
      <t xml:space="preserve">
kiegészítő finanszírozása érdekében</t>
    </r>
  </si>
  <si>
    <t>A kérelmet benyújtó szervezet</t>
  </si>
  <si>
    <t>Képzésben tervezetten részt vevő személyek száma</t>
  </si>
  <si>
    <t>Támogatási előleg összege (ezer forintra kerekítve)</t>
  </si>
  <si>
    <t>Összesen</t>
  </si>
  <si>
    <t>*a szakképzésről szóló törvény végrehajtásáról szóló 12/2020. (II. 7.) Korm. rendelet 2021.01.01-től hatályos 332/A. § (2) bekezdése szerinti, ágazatonként meghatározott szakmaszorzó</t>
  </si>
  <si>
    <t>24.</t>
  </si>
  <si>
    <t>23.</t>
  </si>
  <si>
    <t>22.</t>
  </si>
  <si>
    <t>21.</t>
  </si>
  <si>
    <t>20.</t>
  </si>
  <si>
    <t>19.</t>
  </si>
  <si>
    <t>18.</t>
  </si>
  <si>
    <t>17.</t>
  </si>
  <si>
    <t xml:space="preserve">16. </t>
  </si>
  <si>
    <t>15.</t>
  </si>
  <si>
    <t>14.</t>
  </si>
  <si>
    <t>13.</t>
  </si>
  <si>
    <t>12.</t>
  </si>
  <si>
    <t>11.</t>
  </si>
  <si>
    <t>10.</t>
  </si>
  <si>
    <t>9.</t>
  </si>
  <si>
    <t>8.</t>
  </si>
  <si>
    <t>7.</t>
  </si>
  <si>
    <t>6.</t>
  </si>
  <si>
    <t>5.</t>
  </si>
  <si>
    <t>4.</t>
  </si>
  <si>
    <t>3.</t>
  </si>
  <si>
    <t>2.</t>
  </si>
  <si>
    <t>1.</t>
  </si>
  <si>
    <t>Normatíva alap 
1 évre</t>
  </si>
  <si>
    <t>Szakmaszorzó ha a Magyar Képesítési Keretrendszer szintje adott szakmánál 5-ös*</t>
  </si>
  <si>
    <t>Szakmaszorzó ha a Magyar Képesítési Keretrendszer szintje adott szakmánál 4-es*</t>
  </si>
  <si>
    <t>Sor-szám</t>
  </si>
  <si>
    <t>Szakmai oktatás időtartama alapfokú iskolai végzettséggel (év)</t>
  </si>
  <si>
    <t>Szakma-szorzó</t>
  </si>
  <si>
    <t>0914</t>
  </si>
  <si>
    <t>0913</t>
  </si>
  <si>
    <t>Diabetológiai szakápoló és edukátor</t>
  </si>
  <si>
    <t>Felnőtt intenzív szakápoló</t>
  </si>
  <si>
    <t>Rehabilitációs terapeuta</t>
  </si>
  <si>
    <t>Közlekedés-automatikai technikus</t>
  </si>
  <si>
    <t>Tartósítóipari-termék-készítő</t>
  </si>
  <si>
    <t>Központifűtés- és gázhálózat-rendszer-szerelő</t>
  </si>
  <si>
    <t>0417</t>
  </si>
  <si>
    <t>Hulladék-feldolgozó munkatárs</t>
  </si>
  <si>
    <t>Közlekedés-üzemvitel-ellátó technikus</t>
  </si>
  <si>
    <t>Színház- és rendezvény-technikus</t>
  </si>
  <si>
    <t>Fémszerkezet-felület-bevonó</t>
  </si>
  <si>
    <t>Gyógyszer-készítmény-gyártó</t>
  </si>
  <si>
    <t xml:space="preserve"> Ágazat</t>
  </si>
  <si>
    <t xml:space="preserve"> 22a</t>
  </si>
  <si>
    <t xml:space="preserve"> Szakma  megnevezése</t>
  </si>
  <si>
    <t>Ágazati besorolás</t>
  </si>
  <si>
    <t>Szakma-sorszám</t>
  </si>
  <si>
    <t>1. melléklet a 12/2020. (II. 7.) Korm. Rendelethez (2021.I.1. - )</t>
  </si>
  <si>
    <t>Szakmai oktatás időtartama  érettségi végzettséggel (év)</t>
  </si>
  <si>
    <t xml:space="preserve"> Magyar Képesítési Keret-rendszer szint</t>
  </si>
  <si>
    <t>Digitális Kompetencia  Keret-rendszer szint</t>
  </si>
  <si>
    <t>Szakmajegyzék (175 szakma, szakmairányok nélkül)</t>
  </si>
  <si>
    <t xml:space="preserve">
</t>
  </si>
  <si>
    <t xml:space="preserve">a Magyarország 2021. évi központi költségvetéséről szóló 2020. évi XC. Törvény 67. § (4) </t>
  </si>
  <si>
    <t>forint/fő/év</t>
  </si>
  <si>
    <t xml:space="preserve">a fejezeti kezelésű előirányzatok és központi kezelésű előirányzatok kezeléséről és felhasználásáról szóló    14/2019. (VI. 12.) ITM rendelet 74/L. § (3) aa) </t>
  </si>
  <si>
    <t>Mértékegység</t>
  </si>
  <si>
    <t>Jogszabályi hivatkozás</t>
  </si>
  <si>
    <t>Támogatás szorzat tényezői</t>
  </si>
  <si>
    <t>tervezett létszámhoz kapcsolódó szorzó</t>
  </si>
  <si>
    <t>előleg szorzója minden esetben</t>
  </si>
  <si>
    <t>Képzés esetén a támogatás összegének számításakor alkalmazott súlyszorzó a képzés elvégzéséhez szükséges, a programkövetelményben meghatározott minimális foglalkozás számnak 1000 órához viszonyított aránya</t>
  </si>
  <si>
    <t>külön
munkalap</t>
  </si>
  <si>
    <t>A szakképzésről szóló 2019. évi LXXX. törvény 107. § (2) bekezdése szerinti önköltség összege</t>
  </si>
  <si>
    <t>Szakmai oktatás önköltség szorzója</t>
  </si>
  <si>
    <t xml:space="preserve">a fejezeti kezelésű előirányzatok és központi kezelésű előirányzatok kezeléséről és felhasználásáról szóló    14/2019. (VI. 12.) ITM rendelet 74/L. § (8) b) </t>
  </si>
  <si>
    <t>Szakmai képzés önköltség szorzója előleghez kapcsolódóan</t>
  </si>
  <si>
    <t>Szakmai képzés önköltség szorzója sikeres vizsga esetén</t>
  </si>
  <si>
    <t>Szakmai képzés önköltség szorzója sikeres vizsga nélkül, tanúsítvánnyal</t>
  </si>
  <si>
    <t xml:space="preserve">a fejezeti kezelésű előirányzatok és központi kezelésű előirányzatok kezeléséről és felhasználásáról szóló    14/2019. (VI. 12.) ITM rendelet 74/L. § (3) ba) </t>
  </si>
  <si>
    <t xml:space="preserve">a fejezeti kezelésű előirányzatok és központi kezelésű előirányzatok kezeléséről és felhasználásáról szóló    14/2019. (VI. 12.) ITM rendelet 74/L. § (3) bb) </t>
  </si>
  <si>
    <t xml:space="preserve">a fejezeti kezelésű előirányzatok és központi kezelésű előirányzatok kezeléséről és felhasználásáról szóló    14/2019. (VI. 12.) ITM rendelet 74/L. § (8) a) és b) </t>
  </si>
  <si>
    <t>a fejezeti kezelésű előirányzatok és központi kezelésű előirányzatok kezeléséről és felhasználásáról szóló    14/2019. (VI. 12.) ITM rendelet 74/L. § (8) c)</t>
  </si>
  <si>
    <t>a fejezeti kezelésű előirányzatok és központi kezelésű előirányzatok kezeléséről és felhasználásáról szóló    14/2019. (VI. 12.) ITM rendelet 74/L. § (4)</t>
  </si>
  <si>
    <t>A technikum kétéves, kizárólag érettségi vizsgára felkészítő képzésében felnőttképzési jogviszonyban részt vevő személyenként a támogatás összege</t>
  </si>
  <si>
    <t>a fejezeti kezelésű előirányzatok és központi kezelésű előirányzatok kezeléséről és felhasználásáról szóló    14/2019. (VI. 12.) ITM rendelet 74/L. § (5)</t>
  </si>
  <si>
    <t>Érték</t>
  </si>
  <si>
    <t>Elvi össznormatíva
(Ft/fő)</t>
  </si>
  <si>
    <t>Elvi normatíva 1 évre
(Ft/fő/év)</t>
  </si>
  <si>
    <t>Szakmai oktatás kezdete
(lenyíló menü)</t>
  </si>
  <si>
    <r>
      <rPr>
        <b/>
        <u/>
        <sz val="10"/>
        <color rgb="FFFF0000"/>
        <rFont val="Calibri"/>
        <family val="2"/>
        <charset val="238"/>
        <scheme val="minor"/>
      </rPr>
      <t>Tervezett</t>
    </r>
    <r>
      <rPr>
        <b/>
        <sz val="10"/>
        <color theme="1"/>
        <rFont val="Calibri"/>
        <family val="2"/>
        <charset val="238"/>
        <scheme val="minor"/>
      </rPr>
      <t xml:space="preserve"> szakmai oktatás esetén a  </t>
    </r>
    <r>
      <rPr>
        <b/>
        <u/>
        <sz val="10"/>
        <color theme="1"/>
        <rFont val="Calibri"/>
        <family val="2"/>
        <charset val="238"/>
        <scheme val="minor"/>
      </rPr>
      <t>felnőttképzési szerződéssel még nem rendelkező</t>
    </r>
    <r>
      <rPr>
        <b/>
        <sz val="10"/>
        <color theme="1"/>
        <rFont val="Calibri"/>
        <family val="2"/>
        <charset val="238"/>
        <scheme val="minor"/>
      </rPr>
      <t xml:space="preserve">, képzésben részt vevő személyek </t>
    </r>
    <r>
      <rPr>
        <b/>
        <u/>
        <sz val="10"/>
        <color rgb="FFFF0000"/>
        <rFont val="Calibri"/>
        <family val="2"/>
        <charset val="238"/>
        <scheme val="minor"/>
      </rPr>
      <t>tervezett</t>
    </r>
    <r>
      <rPr>
        <b/>
        <sz val="10"/>
        <color theme="1"/>
        <rFont val="Calibri"/>
        <family val="2"/>
        <charset val="238"/>
        <scheme val="minor"/>
      </rPr>
      <t xml:space="preserve"> száma
(fő)</t>
    </r>
  </si>
  <si>
    <t>Egy főre eső elvi normatíva a támogatási időszakra
(Ft)</t>
  </si>
  <si>
    <t xml:space="preserve">
Elvi támogatási összeg a támogatási időszakra (létszám * egy főre eső elvi normatíva)
(Ft)</t>
  </si>
  <si>
    <t>A szakmai oktatásban felnőttképzési szerződéssel ténylegesen részt vett személyek támogatási időszak végi záró létszáma
(fő)</t>
  </si>
  <si>
    <t>A szakmai oktatást sikeres vizsgával zárók létszáma
(fő)</t>
  </si>
  <si>
    <t>A szakmai oktatásban felnőttképzési szerződéssel ténylegesen részt vett személyek összlétszáma
(fő)</t>
  </si>
  <si>
    <t>Egy főre eső elvi normatíva a  szakmai oktatás teljes időszakára
(Ft)</t>
  </si>
  <si>
    <t>Elszámolt támogatási összeg összesen
(Ft)</t>
  </si>
  <si>
    <t xml:space="preserve">                 ELSZÁMOLÁS</t>
  </si>
  <si>
    <t xml:space="preserve">TÁMOGATÁS SZÁMÍTÁS            </t>
  </si>
  <si>
    <t>_2020_2021_keresztfélév</t>
  </si>
  <si>
    <t>Egy főre eső elvi normatíva a  szakmai képzés teljes időszakára
(Ft)</t>
  </si>
  <si>
    <t xml:space="preserve">TÁMOGATÁS SZÁMÍTÁS                </t>
  </si>
  <si>
    <t xml:space="preserve">Állatorvosi asszisztens (2021.01.08.) </t>
  </si>
  <si>
    <t xml:space="preserve">Automatikai berendezés karbantartó (2021.01.08.) </t>
  </si>
  <si>
    <t xml:space="preserve">Elektronikai gyártósori műszerész (2021.01.08.) </t>
  </si>
  <si>
    <t xml:space="preserve">PLC programozó (2021.01.08.) </t>
  </si>
  <si>
    <t xml:space="preserve">Erőművi blokkgépész (2021.01.08.) </t>
  </si>
  <si>
    <t xml:space="preserve">Erőművi gépész (2021.01.08.) </t>
  </si>
  <si>
    <t xml:space="preserve">Erőművi gőzturbina gépész (2021.01.08.) </t>
  </si>
  <si>
    <t xml:space="preserve">Erőművi kazángépész (2021.01.08.) </t>
  </si>
  <si>
    <t xml:space="preserve">Gáz- és hőtermelő berendezés - szerelő (2021.01.08.) </t>
  </si>
  <si>
    <t xml:space="preserve">Gázipari műszaki-biztonsági felülvizsgáló (2021.01.08.) </t>
  </si>
  <si>
    <t xml:space="preserve">Gázturbina gépész (2021.01.08.) </t>
  </si>
  <si>
    <t xml:space="preserve">Háztartási gép szerviz-szaktechnikus (2021.01.08.) </t>
  </si>
  <si>
    <t xml:space="preserve">Hűtéstechnikai berendezés üzemeltető (2021.01.08.) </t>
  </si>
  <si>
    <t xml:space="preserve">Hűtő-, klíma- és hőszivattyú berendezés-szerelő (2021.01.08.) </t>
  </si>
  <si>
    <t xml:space="preserve">Ipari olaj- és gáztüzelő-berendezés kezelő (2021.01.08.) </t>
  </si>
  <si>
    <t xml:space="preserve">Kazángépész (12 t/h felett) (2021.01.08.) </t>
  </si>
  <si>
    <t xml:space="preserve">Kazánkezelő (max. 12 t/h) (2021.01.08.) </t>
  </si>
  <si>
    <t xml:space="preserve">Kereskedelmi, háztartási és vendéglátóipari gépszerelő (2021.01.08.) </t>
  </si>
  <si>
    <t xml:space="preserve">Kisfeszültségű csatlakozó- és közvilágítási FAM szerelő (2021.01.08.) </t>
  </si>
  <si>
    <t xml:space="preserve">Kisfeszültségű FAM kábelszerelő (2021.01.08.) </t>
  </si>
  <si>
    <t xml:space="preserve">Kisfeszültségű mérőhelyi FAM szerelő (2021.01.08.) </t>
  </si>
  <si>
    <t xml:space="preserve">Kisfeszültségű szabadvezeték hálózati FAM szerelő (2021.01.08.) </t>
  </si>
  <si>
    <t xml:space="preserve">Kisfeszültségű szakszolgálati FAM szerelő (2021.01.08.) </t>
  </si>
  <si>
    <t xml:space="preserve">Középfeszültségű FAM szerelő kombinált technológiával (2021.01.08.) </t>
  </si>
  <si>
    <t xml:space="preserve">Középfeszültségű FAM szerelő távolból végzett technológiával (2021.01.08.) </t>
  </si>
  <si>
    <t xml:space="preserve">Középfeszültségű kábelszerelő (2021.01.08.) </t>
  </si>
  <si>
    <t xml:space="preserve">Létesítmény energetikus (2021.01.08.) </t>
  </si>
  <si>
    <t xml:space="preserve">Megújuló és egyéb primer energiaforrású kiserőmű erősáramú létesítője (2021.01.08.) </t>
  </si>
  <si>
    <t xml:space="preserve">Villamos alállomás kezelő (2021.01.08.) </t>
  </si>
  <si>
    <t xml:space="preserve">Villamos biztonsági felülvizsgáló (2021.01.08.) </t>
  </si>
  <si>
    <t xml:space="preserve">Villamos elosztóhálózat szerelő, üzemeltető (2021.01.08.) </t>
  </si>
  <si>
    <t xml:space="preserve">Villamos hálózat kezelő (2021.01.08.) </t>
  </si>
  <si>
    <t xml:space="preserve">Villamos távvezeték építő, üzemeltető (2021.01.08.) </t>
  </si>
  <si>
    <t xml:space="preserve">Villámvédelmi felülvizsgáló (2021.01.08.) </t>
  </si>
  <si>
    <t xml:space="preserve">CNC vezérlésű lemezmegmunkáló gépkezelő (2021.01.08.) </t>
  </si>
  <si>
    <t xml:space="preserve">Gépi kovács (2021.01.08.) </t>
  </si>
  <si>
    <t xml:space="preserve">Hengerész (2021.01.08.) </t>
  </si>
  <si>
    <t xml:space="preserve">Kerékpárszerelő (2021.01.08.) </t>
  </si>
  <si>
    <t xml:space="preserve">Mozgólépcső karbantartó-szerelő (2021.01.08.) </t>
  </si>
  <si>
    <t xml:space="preserve">Olvasztár és öntő (2021.01.08.) </t>
  </si>
  <si>
    <t xml:space="preserve">Órás (2021.01.08.) </t>
  </si>
  <si>
    <t xml:space="preserve">Öntészeti mintakészítő (2021.01.08.) </t>
  </si>
  <si>
    <t xml:space="preserve">Vas- és acélfeldolgozó (2021.01.08.) </t>
  </si>
  <si>
    <t xml:space="preserve">Sport- és kedvtelési célú vízi jármű motorszerelője (2021.01.08.) </t>
  </si>
  <si>
    <t xml:space="preserve">Vasúti jármű diagnosztikus (2021.01.08.) </t>
  </si>
  <si>
    <t xml:space="preserve">Drog- és toxikológiai szaktechnikus (2021.01.08.) </t>
  </si>
  <si>
    <t xml:space="preserve">Gyógyszeripari szaktechnikus (2021.01.08.) </t>
  </si>
  <si>
    <t xml:space="preserve">Műszeres analitikus (2021.01.08.) </t>
  </si>
  <si>
    <t xml:space="preserve">Vegyipari rendszerüzemeltető szaktechnikus (2021.01.08.) </t>
  </si>
  <si>
    <t xml:space="preserve">Betegkísérő (2021.01.08.) </t>
  </si>
  <si>
    <t xml:space="preserve">Műtőssegéd-gipszmester (2021.01.08.) </t>
  </si>
  <si>
    <t xml:space="preserve">Digitális fogtechnika (2021.01.08.) </t>
  </si>
  <si>
    <t xml:space="preserve">Fülilleszték készítő (2021.01.08.) </t>
  </si>
  <si>
    <t xml:space="preserve">Orthodontia (2021.01.08.) </t>
  </si>
  <si>
    <t xml:space="preserve">Boncmester (2021.01.08.) </t>
  </si>
  <si>
    <t xml:space="preserve">Fertőtlenítő-sterilező (2021.01.08.) </t>
  </si>
  <si>
    <t xml:space="preserve">Gyógyászati segédeszköz forgalmazó (2021.01.08.) </t>
  </si>
  <si>
    <t xml:space="preserve">Térképész (2021.01.08.) </t>
  </si>
  <si>
    <t xml:space="preserve">Díszmű- és műemléki bádogos (2021.01.08.) </t>
  </si>
  <si>
    <t xml:space="preserve">Égéstermék-elvezető építő, szerelő, karbantartó (2021.01.08.) </t>
  </si>
  <si>
    <t xml:space="preserve">Homlokzatépítő és -szerelő (2021.01.08.) </t>
  </si>
  <si>
    <t xml:space="preserve">Műemlékfenntartó szaktechnikus (2021.01.08.) </t>
  </si>
  <si>
    <t xml:space="preserve">Műemléki díszítőszobrász (2021.01.08.) </t>
  </si>
  <si>
    <t xml:space="preserve">Műemléki helyreállító (2021.01.08.) </t>
  </si>
  <si>
    <t xml:space="preserve">Nyílászáró és árnyékolástechnikai szerelő, beépítő (2021.01.08.) </t>
  </si>
  <si>
    <t xml:space="preserve">Rekonstrukciós és műemléki festő, mázoló (2021.01.08.) </t>
  </si>
  <si>
    <t xml:space="preserve">Üveges (2021.01.08.) </t>
  </si>
  <si>
    <t xml:space="preserve">Vízgépészeti és technológiai berendezésszerelő (2021.01.08.) </t>
  </si>
  <si>
    <t xml:space="preserve">Vízkútfúró (2021.01.08.) </t>
  </si>
  <si>
    <t xml:space="preserve">Fakitermelő (2021.01.08.) </t>
  </si>
  <si>
    <t xml:space="preserve">Gallyazó-daraboló (2021.01.08.) </t>
  </si>
  <si>
    <t xml:space="preserve">Külszíni bányász (2021.01.08.) </t>
  </si>
  <si>
    <t xml:space="preserve">Mélyfúró (2021.01.08.) </t>
  </si>
  <si>
    <t xml:space="preserve">Molnár (2021.01.08.) </t>
  </si>
  <si>
    <t xml:space="preserve">Növényolajgyártó(2021.01.08.) </t>
  </si>
  <si>
    <t xml:space="preserve">Száraztésztagyártó (2021.01.08.) </t>
  </si>
  <si>
    <t xml:space="preserve">Bútorműves, műbútorasztalos (2021.01.08.) </t>
  </si>
  <si>
    <t xml:space="preserve">Digitális montírozó és nyomóforma készítő (2021.01.08.) </t>
  </si>
  <si>
    <t xml:space="preserve">Extrudergép-kezelő (2021.01.08.) </t>
  </si>
  <si>
    <t xml:space="preserve">Faipari gépkezelő (2021.01.08.) </t>
  </si>
  <si>
    <t xml:space="preserve">Fröccsöntő (2021.01.08.) </t>
  </si>
  <si>
    <t xml:space="preserve">Gumikeverék-készítő (2021.01.08.) </t>
  </si>
  <si>
    <t xml:space="preserve">Ipari gumitermék-előállító (2021.01.08.) </t>
  </si>
  <si>
    <t xml:space="preserve">Kádár, bognár (2021.01.08.) </t>
  </si>
  <si>
    <t xml:space="preserve">Kalandergép-kezelő (2021.01.08.) </t>
  </si>
  <si>
    <t xml:space="preserve">Műanyag hegesztő (2021.01.08.) </t>
  </si>
  <si>
    <t xml:space="preserve">Nyomdai formakészítő (2021.01.08.) </t>
  </si>
  <si>
    <t xml:space="preserve">Színátalakító (Color converter) (2021.01.08.) </t>
  </si>
  <si>
    <t xml:space="preserve">Vágógép-kezelő (2021.01.08.) </t>
  </si>
  <si>
    <t xml:space="preserve">Vulkanizálógép kezelő (2021.01.08.) </t>
  </si>
  <si>
    <t xml:space="preserve">Keveréktakarmány-gyártó (2021.01.08.) </t>
  </si>
  <si>
    <t xml:space="preserve">Cipőfelsőrész-készítő (2021.01.08.) </t>
  </si>
  <si>
    <t xml:space="preserve">Csecsemő és gyermek ruházat készítő (2021.01.08.) </t>
  </si>
  <si>
    <t xml:space="preserve">Kötöttáru-összeállító (2021.01.08.) </t>
  </si>
  <si>
    <t xml:space="preserve">Munkaruha- és védőruha készítő (2021.01.08.) </t>
  </si>
  <si>
    <t xml:space="preserve">Szűcs (2021.01.08.) </t>
  </si>
  <si>
    <t xml:space="preserve">Textiltisztító és textilszínező (2021.01.08.) </t>
  </si>
  <si>
    <t xml:space="preserve">Földügyi térinformatikus (2021.01.08.) </t>
  </si>
  <si>
    <t xml:space="preserve">Formacikk-gyártó (2021.01.08.) </t>
  </si>
  <si>
    <t xml:space="preserve">Ipari üvegműves (2021.01.08.) </t>
  </si>
  <si>
    <t xml:space="preserve">Üveggyártó (2021.01.08.) </t>
  </si>
  <si>
    <t xml:space="preserve">Elektromos halászgép kezelője (2021.01.08.) </t>
  </si>
  <si>
    <t xml:space="preserve">Gerinchálózati rendszerüzemeltető (2020.10.29) </t>
  </si>
  <si>
    <t xml:space="preserve">Infokommunikációs hálózatüzemeltető (2020.10.29) </t>
  </si>
  <si>
    <t xml:space="preserve">Infokommunikációs hozzáférési hálózatüzemeltető (2020.10.29) </t>
  </si>
  <si>
    <t xml:space="preserve">Informatikai támogató munkatárs (2020.10.29.) </t>
  </si>
  <si>
    <t xml:space="preserve">Műsorközlő és tartalom-átviteli rendszerüzemeltető (2020.10.29) </t>
  </si>
  <si>
    <t xml:space="preserve">Távközlési és informatikai hálózatszerelő (2020.10.29) </t>
  </si>
  <si>
    <t xml:space="preserve">Junior frontend fejlesztő (2020.10.29.) </t>
  </si>
  <si>
    <t xml:space="preserve">Junior Java backend fejlesztő (2020.10.29) </t>
  </si>
  <si>
    <t xml:space="preserve">Junior rendszerüzemeltető (2020.10.29) </t>
  </si>
  <si>
    <t xml:space="preserve">Junior szoftvertesztelő (2020.10.29) </t>
  </si>
  <si>
    <t xml:space="preserve">Mobilalkalmazás fejlesztő (2020.10.29) </t>
  </si>
  <si>
    <t xml:space="preserve">Multimédia-alkalmazásfejlesztő (2020.10.29) </t>
  </si>
  <si>
    <t xml:space="preserve">Webfejlesztő (2020.10.29) </t>
  </si>
  <si>
    <t xml:space="preserve">Emelőgép-ügyintéző (2021.01.08.) </t>
  </si>
  <si>
    <t xml:space="preserve">Munkavédelmi előadó (2021.01.08.) </t>
  </si>
  <si>
    <t xml:space="preserve">Egészségügyi kártevőirtó (2021.01.08.) </t>
  </si>
  <si>
    <t xml:space="preserve">Víz- és csatornamű kezelő (2021.01.08.) </t>
  </si>
  <si>
    <t xml:space="preserve">Dísznövénykertész (2021.01.08.) </t>
  </si>
  <si>
    <t xml:space="preserve">Koszorúkészítő (2021.01.08.) </t>
  </si>
  <si>
    <t xml:space="preserve">Mezőgazdasági gépjavító (2021.01.08.) </t>
  </si>
  <si>
    <t xml:space="preserve">Távérzékelési képfeldolgozó (2021.01.08.) </t>
  </si>
  <si>
    <t xml:space="preserve">Biogazdálkodó (2021.01.08.) </t>
  </si>
  <si>
    <t xml:space="preserve">Belovagló (2021.01.08.) </t>
  </si>
  <si>
    <t xml:space="preserve">Lóápoló és gondozó (2021.01.08.) </t>
  </si>
  <si>
    <t xml:space="preserve">Méhész (2021.01.08.) </t>
  </si>
  <si>
    <t xml:space="preserve">Zöldség- és gyümölcstermesztő (2021.01.08.) </t>
  </si>
  <si>
    <t xml:space="preserve">Gát- és csatornaőr (2021.01.08.) </t>
  </si>
  <si>
    <t xml:space="preserve">Kályhás (2021.01.08.) </t>
  </si>
  <si>
    <t xml:space="preserve">Nyomástartóedény-gépész (2021.01.08.) </t>
  </si>
  <si>
    <t xml:space="preserve">Robbanásbiztos berendezés szerelője (2021.01.08.) </t>
  </si>
  <si>
    <t xml:space="preserve">Vízügyi gépész (2021.01.08.) </t>
  </si>
  <si>
    <t xml:space="preserve">Felvonó- és mozgólépcső ellenőr (2021.01.08.) </t>
  </si>
  <si>
    <t xml:space="preserve">Felvonószerelő (2021.01.08.) </t>
  </si>
  <si>
    <t xml:space="preserve">Folyamatszabályozó gépmester (2021.01.08.) </t>
  </si>
  <si>
    <t xml:space="preserve">Könyvművész, könyvrestaurátor (2021.01.08.) </t>
  </si>
  <si>
    <t xml:space="preserve">Lakberendező (2021.01.08.) </t>
  </si>
  <si>
    <t xml:space="preserve">Képző- és iparművészeti munkatárs (Divatstílus és jelmeztervező) (2020.10.29.) </t>
  </si>
  <si>
    <t xml:space="preserve">Képző- és iparművészeti munkatárs (Festő) (2020.10.29) </t>
  </si>
  <si>
    <t xml:space="preserve">Képző- és iparművészeti munkatárs (Kerámiaműves) (2020.10.29) </t>
  </si>
  <si>
    <t xml:space="preserve">Képző- és iparművészeti munkatárs (Mozgóképi animáció tervező) (2020.10.29) </t>
  </si>
  <si>
    <t xml:space="preserve">Képző- és iparművészeti munkatárs (Művészeti és médiafotográfus) (2020.10.29) </t>
  </si>
  <si>
    <t xml:space="preserve">Képző- és iparművészeti munkatárs (Művészeti grafikus) (2020.10.29) </t>
  </si>
  <si>
    <t xml:space="preserve">Képző- és iparművészeti munkatárs (Ötvös) (2020.10.29) </t>
  </si>
  <si>
    <t xml:space="preserve">Képző- és iparművészeti munkatárs (Szobrász) (2020.10.29.) </t>
  </si>
  <si>
    <t xml:space="preserve">Képző- és iparművészeti munkatárs (Textilműves) (2020.10.29) </t>
  </si>
  <si>
    <t xml:space="preserve">Képző- és iparművészeti munkatárs (Üvegműves) (2020.10.29) </t>
  </si>
  <si>
    <t xml:space="preserve">Könyv- és papírrestaurátor (2021.01.08.) </t>
  </si>
  <si>
    <t xml:space="preserve">Műtárgyvédelmi munkatárs - Múzeumi gyűjtemény és raktárkezelő (2021.01.08.) </t>
  </si>
  <si>
    <t xml:space="preserve">Műtárgyvédelmi munkatárs - Műtárgyvédelmi asszisztens (2021.01.08.) </t>
  </si>
  <si>
    <t xml:space="preserve">Aranyműves (2021.01.08.) </t>
  </si>
  <si>
    <t xml:space="preserve">Díszműkovács (2021.01.08.) </t>
  </si>
  <si>
    <t xml:space="preserve">Ezüstműves (2021.01.08.) </t>
  </si>
  <si>
    <t xml:space="preserve">Népi játék és kismesterségek oktatója (2021.01.08.) </t>
  </si>
  <si>
    <t xml:space="preserve">Népi kézműves (Csipkekészítő) (2020.10.29.) </t>
  </si>
  <si>
    <t xml:space="preserve">Népi kézműves (Faműves-fajátékkészítő) (2020.10.29) </t>
  </si>
  <si>
    <t xml:space="preserve">Népi kézműves (Fazekas) (2020.10.29.) </t>
  </si>
  <si>
    <t xml:space="preserve">Népi kézműves (Fonottbútor készítő) (2020.10.29) </t>
  </si>
  <si>
    <t xml:space="preserve">Népi kézműves (Gyékény, szalma és csuhétárgy készítő) (2020.10.29) </t>
  </si>
  <si>
    <t xml:space="preserve">Népi kézműves (Kékfestő) (2020.10.29) </t>
  </si>
  <si>
    <t xml:space="preserve">Népi kézműves (Kézi és gépi hímző) (2020.10.29.) </t>
  </si>
  <si>
    <t xml:space="preserve">Népi kézműves (Kosárfonó) (2020.10.29) </t>
  </si>
  <si>
    <t xml:space="preserve">Népi kézműves (Mézeskalács díszítő) (2020.10.29) </t>
  </si>
  <si>
    <t xml:space="preserve">Népi kézműves (Nemezkészítő) (2020.10.29) </t>
  </si>
  <si>
    <t xml:space="preserve">Népi kézműves (Népibőrműves) (2020.10.29) </t>
  </si>
  <si>
    <t xml:space="preserve">Népi kézműves (Papucskészítő) (2020.10.29) </t>
  </si>
  <si>
    <t xml:space="preserve">Népi kézműves (Szíjgyártó-nyerges) (2020.10.29) </t>
  </si>
  <si>
    <t xml:space="preserve">Népi kézműves (Szőnyegszövő) (2020.10.29.) </t>
  </si>
  <si>
    <t xml:space="preserve">Népi kézműves (Takács) (2020.10.29) </t>
  </si>
  <si>
    <t xml:space="preserve">Üvegcsiszoló (2021.01.08.) </t>
  </si>
  <si>
    <t xml:space="preserve">Vésnök (2021.01.08.) </t>
  </si>
  <si>
    <t xml:space="preserve">Virágdekoratőr (2021.01.08.) </t>
  </si>
  <si>
    <t xml:space="preserve">Virágkötő és virágkereskedő (2021.01.08.) </t>
  </si>
  <si>
    <t xml:space="preserve">Artista I. (Akrobata) (2020.10.29) </t>
  </si>
  <si>
    <t xml:space="preserve">Artista I. (Bohóc) (2020.10.29) </t>
  </si>
  <si>
    <t xml:space="preserve">Artista I. (Egyensúlyozó) (2020.10.29) </t>
  </si>
  <si>
    <t xml:space="preserve">Artista I. (Légtornász) (2020.10.29) </t>
  </si>
  <si>
    <t xml:space="preserve">Artista I. (Társulati artista) (2020.10.29) </t>
  </si>
  <si>
    <t xml:space="preserve">Artista I. (Zsonglőr) (2020.10.29.) </t>
  </si>
  <si>
    <t xml:space="preserve">Artista II. (Akrobata) (2020.10.29.) </t>
  </si>
  <si>
    <t xml:space="preserve">Artista II. (Bohóc) (2020.10.29.) </t>
  </si>
  <si>
    <t xml:space="preserve">Artista II. (Egyensúlyozó) (2020.10.29.) </t>
  </si>
  <si>
    <t xml:space="preserve">Artista II. (Légtornász) (2020.10.29.) </t>
  </si>
  <si>
    <t xml:space="preserve">Artista II. (Társulati artista) (2020.10.29.) </t>
  </si>
  <si>
    <t xml:space="preserve">Artista II. (Zsonglőr) (2020.10.29) </t>
  </si>
  <si>
    <t xml:space="preserve">Egyházzenész I. (Kántor énekvezető) (2020.10.29) </t>
  </si>
  <si>
    <t xml:space="preserve">Egyházzenész I. (Kántor gitáros) (2020.10.29) </t>
  </si>
  <si>
    <t xml:space="preserve">Egyházzenész I. (Kántor kórusvezető) (2020.10.29.) </t>
  </si>
  <si>
    <t xml:space="preserve">Egyházzenész I. (Kántor orgonista) (2020.10.29) </t>
  </si>
  <si>
    <t xml:space="preserve">Egyházzenész II. (Kántor énekvezető) (2020.10.29) </t>
  </si>
  <si>
    <t xml:space="preserve">Egyházzenész II. (Kántor gitáros) (2020.10.29.) </t>
  </si>
  <si>
    <t xml:space="preserve">Egyházzenész II. (Kántor kórusvezető) (2020.10.29) </t>
  </si>
  <si>
    <t xml:space="preserve">Egyházzenész II. (Kántor orgonista) (2020.10.29) </t>
  </si>
  <si>
    <t xml:space="preserve">Jazz zenész I. (Billentyűs) (2020.10.29) </t>
  </si>
  <si>
    <t xml:space="preserve">Jazz zenész I. (Fafúvós) (2020.10.29.) </t>
  </si>
  <si>
    <t xml:space="preserve">Jazz zenész I. (Húros-vonós) (2020.10.29) </t>
  </si>
  <si>
    <t xml:space="preserve">Jazz zenész I. (Jazz énekes) (2020.10.29) </t>
  </si>
  <si>
    <t xml:space="preserve">Jazz zenész I. (Rézfúvós) (2020.10.29) </t>
  </si>
  <si>
    <t xml:space="preserve">Jazz zenész I. (Ütős) (2020.10.29) </t>
  </si>
  <si>
    <t xml:space="preserve">Jazz zenész II. (Billentyűs) (2020.10.29.) </t>
  </si>
  <si>
    <t xml:space="preserve">Jazz zenész II. (Fafúvós) (2020.10.29) </t>
  </si>
  <si>
    <t xml:space="preserve">Jazz zenész II. (Húros-vonós) (2020.10.29) </t>
  </si>
  <si>
    <t xml:space="preserve">Jazz zenész II. (Jazz énekes) (2020.10.29) </t>
  </si>
  <si>
    <t xml:space="preserve">Jazz zenész II. (Rézfúvós) (2020.10.29) </t>
  </si>
  <si>
    <t xml:space="preserve">Jazz zenész II. (Ütős) (2020.10.29.) </t>
  </si>
  <si>
    <t xml:space="preserve">Kaszkadőr (autós kaszkadőr) (2021.01.08.) </t>
  </si>
  <si>
    <t xml:space="preserve">Kaszkadőr (gyalogos kaszkadőr) (2021.01.08.) </t>
  </si>
  <si>
    <t xml:space="preserve">Kaszkadőr (lovas kaszkadőr) (2021.01.08.) </t>
  </si>
  <si>
    <t xml:space="preserve">Kaszkadőr (motoros kaszkadőr) (2021.01.08.) </t>
  </si>
  <si>
    <t xml:space="preserve">Kaszkadőrszakértő (2021.01.08.) </t>
  </si>
  <si>
    <t xml:space="preserve">Klasszikus zenész I. (Billentyűs) (2020.10.29) </t>
  </si>
  <si>
    <t xml:space="preserve">Klasszikus zenész I. (Fafúvós) (2020.10.29) </t>
  </si>
  <si>
    <t xml:space="preserve">Klasszikus zenész I. (Hangkultúra) (2020.10.29.) </t>
  </si>
  <si>
    <t xml:space="preserve">Klasszikus zenész I. (Húros-vonós) (2020.10.29) </t>
  </si>
  <si>
    <t xml:space="preserve">Klasszikus zenész I. (Magánénekes) (2020.10.29) </t>
  </si>
  <si>
    <t xml:space="preserve">Klasszikus zenész I. (Rézfúvós) (2020.10.29) </t>
  </si>
  <si>
    <t xml:space="preserve">Klasszikus zenész I. (Ütős) (2020.10.29) </t>
  </si>
  <si>
    <t xml:space="preserve">Klasszikus zenész I. (Zeneelmélet-szolfézs) (2020.10.29.) </t>
  </si>
  <si>
    <t xml:space="preserve">Klasszikus zenész I. (Zeneszerzés) (2020.10.29.) </t>
  </si>
  <si>
    <t xml:space="preserve">Klasszikus zenész II. (Billentyűs) (2020.10.29) </t>
  </si>
  <si>
    <t xml:space="preserve">Klasszikus zenész II. (Fafúvós) (2020.10.29) </t>
  </si>
  <si>
    <t xml:space="preserve">Klasszikus zenész II. (Hangkultúra) (2020.10.29) </t>
  </si>
  <si>
    <t xml:space="preserve">Klasszikus zenész II. (Húros-vonós) (2020.10.29.) </t>
  </si>
  <si>
    <t xml:space="preserve">Klasszikus zenész II. (Magánénekes) (2020.10.29) </t>
  </si>
  <si>
    <t xml:space="preserve">Klasszikus zenész II. (Rézfúvós) (2020.10.29) </t>
  </si>
  <si>
    <t xml:space="preserve">Klasszikus zenész II. (Ütős) (2020.10.29.) </t>
  </si>
  <si>
    <t xml:space="preserve">Klasszikus zenész II. (Zeneelmélet-szolfézs) (2020.10.29) </t>
  </si>
  <si>
    <t xml:space="preserve">Klasszikus zenész II. (Zeneszerzés) (2020.10.29) </t>
  </si>
  <si>
    <t xml:space="preserve">Népzenész I. (Billentyűs) (2020.10.29) </t>
  </si>
  <si>
    <t xml:space="preserve">Népzenész I. (Fafúvós) (2020.10.29.) </t>
  </si>
  <si>
    <t xml:space="preserve">Népzenész I. (Húros-vonós) (2020.10.29) </t>
  </si>
  <si>
    <t xml:space="preserve">Népzenész I. (Népi énekes) (2020.10.29) </t>
  </si>
  <si>
    <t xml:space="preserve">Népzenész I. (Ütős) (2020.10.29) </t>
  </si>
  <si>
    <t xml:space="preserve">Népzenész II. (Billentyűs) (2020.10.29) </t>
  </si>
  <si>
    <t xml:space="preserve">Népzenész II. (Fafúvós) (2020.10.29) </t>
  </si>
  <si>
    <t xml:space="preserve">Népzenész II. (Húros-vonós) (2020.10.29.) </t>
  </si>
  <si>
    <t xml:space="preserve">Népzenész II. (Népi énekes) (2020.10.29) </t>
  </si>
  <si>
    <t xml:space="preserve">Népzenész II. (Ütős) (2020.10.29) </t>
  </si>
  <si>
    <t xml:space="preserve">Színész II. (Színházi és filmszínész) (2020.10.29) </t>
  </si>
  <si>
    <t xml:space="preserve">Színész I. (Bábszínész) (2020.10.29) </t>
  </si>
  <si>
    <t xml:space="preserve">Színész I. (Színházi és filmszínész) (2020.10.29) </t>
  </si>
  <si>
    <t xml:space="preserve">Színész II. (Bábszínész) (2020.10.29) </t>
  </si>
  <si>
    <t xml:space="preserve">Szórakoztató zenész I. (Billentyűs) (2020.10.29) </t>
  </si>
  <si>
    <t xml:space="preserve">Szórakoztató zenész I. (Énekes szólista) (2020.10.29.) </t>
  </si>
  <si>
    <t xml:space="preserve">Szórakoztató zenész I. (Fafúvós) (2020.10.29) </t>
  </si>
  <si>
    <t xml:space="preserve">Szórakoztató zenész I. (Húros-vonós) (2020.10.29) </t>
  </si>
  <si>
    <t xml:space="preserve">Szórakoztató zenész I. (Rézfúvós) (2020.10.29.) </t>
  </si>
  <si>
    <t xml:space="preserve">Szórakoztató zenész I. (Ütős) (2020.10.29) </t>
  </si>
  <si>
    <t xml:space="preserve">Szórakoztató zenész II. (Billentyűs) (2020.10.29) </t>
  </si>
  <si>
    <t xml:space="preserve">Szórakoztató zenész II. (Énekes szólista) (2020.10.29) </t>
  </si>
  <si>
    <t xml:space="preserve">Szórakoztató zenész II. (Fafúvós) (2020.10.29) </t>
  </si>
  <si>
    <t xml:space="preserve">Szórakoztató zenész II. (Húros-vonós) (2020.10.29) </t>
  </si>
  <si>
    <t xml:space="preserve">Szórakoztató zenész II. (Rézfúvós) (2020.10.29) </t>
  </si>
  <si>
    <t xml:space="preserve">Szórakoztató zenész II. (Ütős) (2020.10.29) </t>
  </si>
  <si>
    <t xml:space="preserve">Táncos I. (Klasszikus balett táncos) (2020.10.29.) </t>
  </si>
  <si>
    <t xml:space="preserve">Táncos I. (Kortárs modern táncos) (2020.10.29) </t>
  </si>
  <si>
    <t xml:space="preserve">Táncos I. (Néptáncos) (2020.10.29) </t>
  </si>
  <si>
    <t xml:space="preserve">Táncos I. (Színházi táncos) (2020.10.29.) </t>
  </si>
  <si>
    <t xml:space="preserve">Táncos II. (Klasszikus balett táncos) (2020.10.29) </t>
  </si>
  <si>
    <t xml:space="preserve">Táncos II. (Kortárs modern táncos) (2020.10.29.) </t>
  </si>
  <si>
    <t xml:space="preserve">Táncos II. (Néptáncos) (2020.10.29.) </t>
  </si>
  <si>
    <t xml:space="preserve">Táncos II. (Színházi táncos) (2020.10.29) </t>
  </si>
  <si>
    <t xml:space="preserve">Pedagógiai munkatárs (Gyógypedagógiai asszisztens) (2020.10.29) </t>
  </si>
  <si>
    <t xml:space="preserve">Pedagógiai munkatárs (Pedagógiai asszisztens) (2020.10.29) </t>
  </si>
  <si>
    <t xml:space="preserve">Fodrász vegyeszeres szakember (2021.01.08.) </t>
  </si>
  <si>
    <t xml:space="preserve">Sminkes és szempillaépítő (2021.01.08.) </t>
  </si>
  <si>
    <t xml:space="preserve">Testtetováló (2021.01.08.) </t>
  </si>
  <si>
    <t xml:space="preserve">Kéményseprő (2021.01.08.) </t>
  </si>
  <si>
    <t xml:space="preserve">Temetkezési szolgáltató (2021.01.08.) </t>
  </si>
  <si>
    <t xml:space="preserve">Csoportos fitness instruktor (2021.01.08.) </t>
  </si>
  <si>
    <t xml:space="preserve">Fitness instruktor (2021.01.08.) </t>
  </si>
  <si>
    <t xml:space="preserve">Sportszervező munkatárs (2021.01.08.) </t>
  </si>
  <si>
    <t xml:space="preserve">Személyi edző (2021.01.08.) </t>
  </si>
  <si>
    <t xml:space="preserve">Falusi turizmus szolgáltató (2021.01.08.) </t>
  </si>
  <si>
    <t xml:space="preserve">Szállodahajós, szállodai személyzet (2021.01.08.) </t>
  </si>
  <si>
    <t xml:space="preserve">Szállodai recepciós (2021.01.08.) </t>
  </si>
  <si>
    <t xml:space="preserve">Tisztítás-technológiai szolgáltatásvezető – Housekeeping -Stewarding (2021.01.08.) </t>
  </si>
  <si>
    <t xml:space="preserve">Demencia gondozó (2021.01.08.) </t>
  </si>
  <si>
    <t xml:space="preserve">Kulturális rendezvény szervezője (2021.01.08.) </t>
  </si>
  <si>
    <t xml:space="preserve">Családellátó (2021.01.08.) </t>
  </si>
  <si>
    <t xml:space="preserve">Patkolókovács (2021.01.08.) </t>
  </si>
  <si>
    <t xml:space="preserve">Ingatlankezelő (2021.01.08.) </t>
  </si>
  <si>
    <t xml:space="preserve">Kutyakozmetikus (2021.01.08.) </t>
  </si>
  <si>
    <t xml:space="preserve">Ingatlanvagyon-értékelő (2021.01.08.) </t>
  </si>
  <si>
    <t xml:space="preserve">Levéltári asszisztens, ügykezelő, irattáros (2021.01.08.) </t>
  </si>
  <si>
    <t xml:space="preserve">Adótanácsadó (2021.01.08.) </t>
  </si>
  <si>
    <t xml:space="preserve">Államháztartási mérlegképes könyvelő (2021.01.08.) </t>
  </si>
  <si>
    <t xml:space="preserve">IFRS mérlegképes könyvelő (2021.01.08.) </t>
  </si>
  <si>
    <t xml:space="preserve">Okleveles adószakértő (2021.01.08.) </t>
  </si>
  <si>
    <t xml:space="preserve">Pénzügyi szervezeti mérlegképes könyvelő (2021.01.08.) </t>
  </si>
  <si>
    <t xml:space="preserve">Vállalkozási mérlegképes könyvelő (2021.01.08.) </t>
  </si>
  <si>
    <t xml:space="preserve">Vámügyintéző (2021.01.08.) </t>
  </si>
  <si>
    <t xml:space="preserve">Közművelődési munkatárs (2020.10.29) </t>
  </si>
  <si>
    <t xml:space="preserve">Társasházkezelő (2021.01.08.) </t>
  </si>
  <si>
    <t xml:space="preserve">Munkaerő-gazdálkodási és társadalombiztosítási (2021.01.08.) </t>
  </si>
  <si>
    <t xml:space="preserve">Barkács áruházi eladó (2020.10.29.) </t>
  </si>
  <si>
    <t xml:space="preserve">Becsüs (2020.10.29) </t>
  </si>
  <si>
    <t xml:space="preserve">Bútor- és szőnyegbecsüs (2020.10.29) </t>
  </si>
  <si>
    <t xml:space="preserve">Bútorbolti eladó (2020.10.29) </t>
  </si>
  <si>
    <t xml:space="preserve">Drogerista (2020.10.29) </t>
  </si>
  <si>
    <t xml:space="preserve">Ékszerbecsüs (2020.10.29) </t>
  </si>
  <si>
    <t xml:space="preserve">Élemiszer-eladó (2020.10.29.) </t>
  </si>
  <si>
    <t xml:space="preserve">Festménybecsüs (2020.10.29) </t>
  </si>
  <si>
    <t xml:space="preserve">Ingatlanközvetítő (2021.01.08.) </t>
  </si>
  <si>
    <t xml:space="preserve">Játékbolti eladó (2020.10.29) </t>
  </si>
  <si>
    <t xml:space="preserve">Műszaki eladó (2020.10.29) </t>
  </si>
  <si>
    <t xml:space="preserve">Műtárgybecsüs (2020.10.29) </t>
  </si>
  <si>
    <t xml:space="preserve">Numizmatikai becsüs (2020.10.29) </t>
  </si>
  <si>
    <t xml:space="preserve">Raktárvezető (2021.01.08.) </t>
  </si>
  <si>
    <t xml:space="preserve">Ruházati eladó (2020.10.29) </t>
  </si>
  <si>
    <t xml:space="preserve">Töltőállomás-kezelő (2021.01.08.) </t>
  </si>
  <si>
    <t xml:space="preserve">Üzletvezető (2020.10.29.) </t>
  </si>
  <si>
    <t xml:space="preserve">Vegyi áru eladó (2020.10.29) </t>
  </si>
  <si>
    <t xml:space="preserve">Banki, befektetési termékértékesítő (2021.01.08.) </t>
  </si>
  <si>
    <t xml:space="preserve">Biztosításközvetítő (függő és független) (2021.01.08.) </t>
  </si>
  <si>
    <t xml:space="preserve">Pénztárkezelő és valutapénztáros (2021.01.08.) </t>
  </si>
  <si>
    <t xml:space="preserve">Számítógépes adatrögzítő (2021.01.08.) </t>
  </si>
  <si>
    <t xml:space="preserve">Kisalegység vezető, csoportparancsnok (ABV védelmi altiszt) (2021.01.08.) </t>
  </si>
  <si>
    <t xml:space="preserve">Kisalegység vezető, csoportparancsnok (Alap Altiszti Tanfolyam) (2021.01.08.) </t>
  </si>
  <si>
    <t xml:space="preserve">Kisalegység vezető, csoportparancsnok (Ejtőernyős altiszt) (2021.01.08.) </t>
  </si>
  <si>
    <t xml:space="preserve">Kisalegység vezető, csoportparancsnok (Elektronikai hadviselés altiszt) (2021.01.08.) </t>
  </si>
  <si>
    <t xml:space="preserve">Kisalegység vezető, csoportparancsnok (Élelmezési ellátó altiszt) (2021.01.08.) </t>
  </si>
  <si>
    <t xml:space="preserve">Kisalegység vezető, csoportparancsnok (Felderítő altiszt) (2021.01.08.) </t>
  </si>
  <si>
    <t xml:space="preserve">Kisalegység vezető, csoportparancsnok (Földi Repülésbiztosító Rendszer Üzemeltető altiszt) (2021.01.08.) </t>
  </si>
  <si>
    <t xml:space="preserve">Kisalegység vezető, csoportparancsnok (Harckocsizó altiszt) (2021.01.08.) </t>
  </si>
  <si>
    <t xml:space="preserve">Kisalegység vezető, csoportparancsnok (Helikopter fedélzeti altiszt) (2021.01.08.) </t>
  </si>
  <si>
    <t xml:space="preserve">Kisalegység vezető, csoportparancsnok (Infokommunikációs altiszt) (2021.01.08.) </t>
  </si>
  <si>
    <t xml:space="preserve">Kisalegység vezető, csoportparancsnok (Informatikai altiszt) (2021.01.08.) </t>
  </si>
  <si>
    <t xml:space="preserve">Kisalegység vezető, csoportparancsnok (Katonai rendész, komendáns altiszt) (2021.01.08.) </t>
  </si>
  <si>
    <t xml:space="preserve">Kisalegység vezető, csoportparancsnok (Képi felderítő altiszt) (2021.01.08.) </t>
  </si>
  <si>
    <t xml:space="preserve">Kisalegység vezető, csoportparancsnok (Közlekedési és szállító altiszt) (2021.01.08.) </t>
  </si>
  <si>
    <t xml:space="preserve">Kisalegység vezető, csoportparancsnok (Légédelmi rakéta altiszt) (2021.01.08.) </t>
  </si>
  <si>
    <t xml:space="preserve">Kisalegység vezető, csoportparancsnok (Légivezetés altiszt) (2021.01.08.) </t>
  </si>
  <si>
    <t xml:space="preserve">Kisalegység vezető, csoportparancsnok (Lövész altiszt) (2021.01.08.) </t>
  </si>
  <si>
    <t xml:space="preserve">Kisalegység vezető, csoportparancsnok (Műszaki altiszt) (2021.01.08.) </t>
  </si>
  <si>
    <t xml:space="preserve">Kisalegység vezető, csoportparancsnok (radarüzemeltető altiszt) (2021.01.08.) </t>
  </si>
  <si>
    <t xml:space="preserve">Kisalegység vezető, csoportparancsnok (Rejtjelző altiszt) (2021.01.08.) </t>
  </si>
  <si>
    <t xml:space="preserve">Kisalegység vezető, csoportparancsnok (Ruházati ellátó altiszt) (2021.01.08.) </t>
  </si>
  <si>
    <t xml:space="preserve">Kisalegység vezető, csoportparancsnok (Tábori tüzér altiszt) (2021.01.08.) </t>
  </si>
  <si>
    <t xml:space="preserve">Kisalegység vezető, csoportparancsnok (Üzemanyag-ellátó altiszt) (2021.01.08.) </t>
  </si>
  <si>
    <t xml:space="preserve">Büntetés-végrehajtási egészségügyi főfelügyelő (2020.10.29) </t>
  </si>
  <si>
    <t xml:space="preserve">Büntetés-végrehajtási felügyelő (2020.10.29.) </t>
  </si>
  <si>
    <t xml:space="preserve">Büntetés-végrehajtási főfelügyelő (2020.10.29) </t>
  </si>
  <si>
    <t xml:space="preserve">Büntetés-végrehajtási gazdálkodási főfelügyelő (2020.10.29) </t>
  </si>
  <si>
    <t xml:space="preserve">Büntetés-végrehajtási igazgatási főfelügyelő (2020.10.29) </t>
  </si>
  <si>
    <t xml:space="preserve">Büntetés-végrehajtási szervező (2020.10.29.) </t>
  </si>
  <si>
    <t xml:space="preserve">Fegyveres biztonsági őr (2020.10.29) </t>
  </si>
  <si>
    <t xml:space="preserve">Határrendész és útlevélkezelő rendőrjárőr (2020.10.29) </t>
  </si>
  <si>
    <t xml:space="preserve">Katasztrófavédelmi munkatárs (polgári védelmi-iparbiztonsági) (2020.10.29.) </t>
  </si>
  <si>
    <t xml:space="preserve">Katasztrófavédelmi tiszt (2020.10.29) </t>
  </si>
  <si>
    <t xml:space="preserve">Katasztrófavédelmi ügyintéző (polgári védelmi-iparbiztonsági) (2020.10.29) </t>
  </si>
  <si>
    <t xml:space="preserve">Közbiztonsági rendőrjárőr (2020.10.29) </t>
  </si>
  <si>
    <t xml:space="preserve">Közterület-felügyelő (2020.10.29) </t>
  </si>
  <si>
    <t xml:space="preserve">Kutyavezető vagyonőr (2020.10.29) </t>
  </si>
  <si>
    <t xml:space="preserve">Magánnyomozó (2020.10.29) </t>
  </si>
  <si>
    <t xml:space="preserve">Önkormányzati természetvédelmi őr (2020.10.29) </t>
  </si>
  <si>
    <t xml:space="preserve">Személy és vagyonőr (2020.10.29) </t>
  </si>
  <si>
    <t xml:space="preserve">Tűzoltó (2021.01.08.) </t>
  </si>
  <si>
    <t xml:space="preserve">Tűzoltó szerparancsnok (2020.10.29) </t>
  </si>
  <si>
    <t xml:space="preserve">Tűzvédelmi előadó (2020.10.29) </t>
  </si>
  <si>
    <t xml:space="preserve">Tűzvédelmi főelőadó (2020.10.29) </t>
  </si>
  <si>
    <t xml:space="preserve">Vagyonvédelmi rendszerszerelő (2020.10.29) </t>
  </si>
  <si>
    <t>A szakmai képzésben felnőttképzési szerződéssel ténylegesen részt vett személyek összlétszáma
(fő)</t>
  </si>
  <si>
    <t>A szakmai képzésben felnőttképzési szerződéssel ténylegesen részt vett személyek támogatási időszak végi záró létszáma
(fő)</t>
  </si>
  <si>
    <t>A szakmai képzést sikeres vizsgával zárók létszáma
(fő)</t>
  </si>
  <si>
    <t>A szakmai képzést csak tanúsítvánnyal zárók létszáma
(fő)</t>
  </si>
  <si>
    <t>A tervezett óraszámból a támogatási időszakban (2021.01.01 - 2021.08.31.) ténylegesen mevalósult órák száma</t>
  </si>
  <si>
    <t>Tanulók létszáma 
(Továbbfutó képzések  előző időszak felülvizsgált záró létszáma)
(fő)</t>
  </si>
  <si>
    <t>Hónapok száma egy évben</t>
  </si>
  <si>
    <t>Hónapok száma a nyitó támogatási időszakban (január - augusztus)</t>
  </si>
  <si>
    <t>Hónapok száma a záró támogatási időszakban (szeptember - december)</t>
  </si>
  <si>
    <t>a fejezeti kezelésű előirányzatok és központi kezelésű előirányzatok kezeléséről és felhasználásáról szóló 14/2019. (VI. 12.) ITM rendelet 2020. december 31-én hatályos 75/B. § (1) szerint személyenként 360 000 forint/év a normatív támogatás összege</t>
  </si>
  <si>
    <t>a fejezeti kezelésű előirányzatok és központi kezelésű előirányzatok kezeléséről és felhasználásáról szóló    14/2019. (VI. 12.) ITM rendelet 75/A. § (3) bekezdés szerint az e rendelet 2020. december 31. napján hatályban lévő 75/B. § (1) bekezdés a) és b) pontja szerinti támogatást a tanulói jogviszonyban felnőttoktatásban részt vevők után a képzések kifutásáig a rendelet 2020. december 31. napján hatályban lévő vonatkozó rendelkezései szerint kell biztosítani</t>
  </si>
  <si>
    <t>Felnőttoktatás - szakképzés és egyéb képzés</t>
  </si>
  <si>
    <t>4. Felnőttoktatás részletes adatai</t>
  </si>
  <si>
    <t>Tervezett óraszám a támogatási időszakban (2021.01.01 - 2021.08.31.)</t>
  </si>
  <si>
    <t>KEOR szám</t>
  </si>
  <si>
    <t>MKKR szám</t>
  </si>
  <si>
    <t xml:space="preserve">Gerinchálózati rendszerüzemeltető </t>
  </si>
  <si>
    <t xml:space="preserve">Infokommunikációs hálózatüzemeltető </t>
  </si>
  <si>
    <t xml:space="preserve">Infokommunikációs hozzáférési hálózatüzemeltető </t>
  </si>
  <si>
    <t xml:space="preserve">Műsorközlő és tartalom-átviteli rendszerüzemeltető </t>
  </si>
  <si>
    <t xml:space="preserve">Távközlési és informatikai hálózatszerelő </t>
  </si>
  <si>
    <t xml:space="preserve">Junior Java backend fejlesztő </t>
  </si>
  <si>
    <t xml:space="preserve">Junior rendszerüzemeltető </t>
  </si>
  <si>
    <t xml:space="preserve">Junior szoftvertesztelő </t>
  </si>
  <si>
    <t xml:space="preserve">Mobilalkalmazás fejlesztő </t>
  </si>
  <si>
    <t xml:space="preserve">Multimédia-alkalmazásfejlesztő </t>
  </si>
  <si>
    <t xml:space="preserve">Webfejlesztő </t>
  </si>
  <si>
    <t xml:space="preserve">Képző- és iparművészeti munkatárs (Festő) </t>
  </si>
  <si>
    <t xml:space="preserve">Képző- és iparművészeti munkatárs (Kerámiaműves) </t>
  </si>
  <si>
    <t xml:space="preserve">Képző- és iparművészeti munkatárs (Mozgóképi animáció tervező) </t>
  </si>
  <si>
    <t xml:space="preserve">Képző- és iparművészeti munkatárs (Művészeti és médiafotográfus) </t>
  </si>
  <si>
    <t xml:space="preserve">Képző- és iparművészeti munkatárs (Művészeti grafikus) </t>
  </si>
  <si>
    <t xml:space="preserve">Képző- és iparművészeti munkatárs (Ötvös) </t>
  </si>
  <si>
    <t xml:space="preserve">Képző- és iparművészeti munkatárs (Textilműves) </t>
  </si>
  <si>
    <t xml:space="preserve">Képző- és iparművészeti munkatárs (Üvegműves) </t>
  </si>
  <si>
    <t xml:space="preserve">Népi kézműves (Faműves-fajátékkészítő) </t>
  </si>
  <si>
    <t xml:space="preserve">Népi kézműves (Fonottbútor készítő) </t>
  </si>
  <si>
    <t xml:space="preserve">Népi kézműves (Gyékény, szalma és csuhétárgy készítő) </t>
  </si>
  <si>
    <t xml:space="preserve">Népi kézműves (Kékfestő) </t>
  </si>
  <si>
    <t xml:space="preserve">Népi kézműves (Kosárfonó) </t>
  </si>
  <si>
    <t xml:space="preserve">Népi kézműves (Mézeskalács díszítő) </t>
  </si>
  <si>
    <t xml:space="preserve">Népi kézműves (Nemezkészítő) </t>
  </si>
  <si>
    <t xml:space="preserve">Népi kézműves (Népibőrműves) </t>
  </si>
  <si>
    <t xml:space="preserve">Népi kézműves (Papucskészítő) </t>
  </si>
  <si>
    <t xml:space="preserve">Népi kézműves (Szíjgyártó-nyerges) </t>
  </si>
  <si>
    <t xml:space="preserve">Népi kézműves (Takács) </t>
  </si>
  <si>
    <t xml:space="preserve">Artista I. (Akrobata) </t>
  </si>
  <si>
    <t xml:space="preserve">Artista I. (Bohóc) </t>
  </si>
  <si>
    <t xml:space="preserve">Artista I. (Egyensúlyozó) </t>
  </si>
  <si>
    <t xml:space="preserve">Artista I. (Légtornász) </t>
  </si>
  <si>
    <t xml:space="preserve">Artista I. (Társulati artista) </t>
  </si>
  <si>
    <t xml:space="preserve">Artista II. (Zsonglőr) </t>
  </si>
  <si>
    <t xml:space="preserve">Egyházzenész I. (Kántor énekvezető) </t>
  </si>
  <si>
    <t xml:space="preserve">Egyházzenész I. (Kántor gitáros) </t>
  </si>
  <si>
    <t xml:space="preserve">Egyházzenész I. (Kántor orgonista) </t>
  </si>
  <si>
    <t xml:space="preserve">Egyházzenész II. (Kántor énekvezető) </t>
  </si>
  <si>
    <t xml:space="preserve">Egyházzenész II. (Kántor kórusvezető) </t>
  </si>
  <si>
    <t xml:space="preserve">Egyházzenész II. (Kántor orgonista) </t>
  </si>
  <si>
    <t xml:space="preserve">Jazz zenész I. (Billentyűs) </t>
  </si>
  <si>
    <t xml:space="preserve">Jazz zenész I. (Húros-vonós) </t>
  </si>
  <si>
    <t xml:space="preserve">Jazz zenész I. (Jazz énekes) </t>
  </si>
  <si>
    <t xml:space="preserve">Jazz zenész I. (Rézfúvós) </t>
  </si>
  <si>
    <t xml:space="preserve">Jazz zenész I. (Ütős) </t>
  </si>
  <si>
    <t xml:space="preserve">Jazz zenész II. (Fafúvós) </t>
  </si>
  <si>
    <t xml:space="preserve">Jazz zenész II. (Húros-vonós) </t>
  </si>
  <si>
    <t xml:space="preserve">Jazz zenész II. (Jazz énekes) </t>
  </si>
  <si>
    <t xml:space="preserve">Jazz zenész II. (Rézfúvós) </t>
  </si>
  <si>
    <t xml:space="preserve">Klasszikus zenész I. (Billentyűs) </t>
  </si>
  <si>
    <t xml:space="preserve">Klasszikus zenész I. (Fafúvós) </t>
  </si>
  <si>
    <t xml:space="preserve">Klasszikus zenész I. (Húros-vonós) </t>
  </si>
  <si>
    <t xml:space="preserve">Klasszikus zenész I. (Magánénekes) </t>
  </si>
  <si>
    <t xml:space="preserve">Klasszikus zenész I. (Rézfúvós) </t>
  </si>
  <si>
    <t xml:space="preserve">Klasszikus zenész I. (Ütős) </t>
  </si>
  <si>
    <t xml:space="preserve">Klasszikus zenész II. (Billentyűs) </t>
  </si>
  <si>
    <t xml:space="preserve">Klasszikus zenész II. (Fafúvós) </t>
  </si>
  <si>
    <t xml:space="preserve">Klasszikus zenész II. (Hangkultúra) </t>
  </si>
  <si>
    <t xml:space="preserve">Klasszikus zenész II. (Magánénekes) </t>
  </si>
  <si>
    <t xml:space="preserve">Klasszikus zenész II. (Rézfúvós) </t>
  </si>
  <si>
    <t xml:space="preserve">Klasszikus zenész II. (Zeneelmélet-szolfézs) </t>
  </si>
  <si>
    <t xml:space="preserve">Klasszikus zenész II. (Zeneszerzés) </t>
  </si>
  <si>
    <t xml:space="preserve">Népzenész I. (Billentyűs) </t>
  </si>
  <si>
    <t xml:space="preserve">Népzenész I. (Húros-vonós) </t>
  </si>
  <si>
    <t xml:space="preserve">Népzenész I. (Népi énekes) </t>
  </si>
  <si>
    <t xml:space="preserve">Népzenész I. (Ütős) </t>
  </si>
  <si>
    <t xml:space="preserve">Népzenész II. (Billentyűs) </t>
  </si>
  <si>
    <t xml:space="preserve">Népzenész II. (Fafúvós) </t>
  </si>
  <si>
    <t xml:space="preserve">Népzenész II. (Népi énekes) </t>
  </si>
  <si>
    <t xml:space="preserve">Népzenész II. (Ütős) </t>
  </si>
  <si>
    <t xml:space="preserve">Színész II. (Színházi és filmszínész) </t>
  </si>
  <si>
    <t xml:space="preserve">Színész I. (Bábszínész) </t>
  </si>
  <si>
    <t xml:space="preserve">Színész I. (Színházi és filmszínész) </t>
  </si>
  <si>
    <t xml:space="preserve">Színész II. (Bábszínész) </t>
  </si>
  <si>
    <t xml:space="preserve">Szórakoztató zenész I. (Billentyűs) </t>
  </si>
  <si>
    <t xml:space="preserve">Szórakoztató zenész I. (Fafúvós) </t>
  </si>
  <si>
    <t xml:space="preserve">Szórakoztató zenész I. (Húros-vonós) </t>
  </si>
  <si>
    <t xml:space="preserve">Szórakoztató zenész I. (Ütős) </t>
  </si>
  <si>
    <t xml:space="preserve">Szórakoztató zenész II. (Billentyűs) </t>
  </si>
  <si>
    <t xml:space="preserve">Szórakoztató zenész II. (Énekes szólista) </t>
  </si>
  <si>
    <t xml:space="preserve">Szórakoztató zenész II. (Fafúvós) </t>
  </si>
  <si>
    <t xml:space="preserve">Szórakoztató zenész II. (Húros-vonós) </t>
  </si>
  <si>
    <t xml:space="preserve">Szórakoztató zenész II. (Rézfúvós) </t>
  </si>
  <si>
    <t xml:space="preserve">Szórakoztató zenész II. (Ütős) </t>
  </si>
  <si>
    <t xml:space="preserve">Táncos I. (Kortárs modern táncos) </t>
  </si>
  <si>
    <t xml:space="preserve">Táncos I. (Néptáncos) </t>
  </si>
  <si>
    <t xml:space="preserve">Táncos II. (Klasszikus balett táncos) </t>
  </si>
  <si>
    <t xml:space="preserve">Táncos II. (Színházi táncos) </t>
  </si>
  <si>
    <t xml:space="preserve">Pedagógiai munkatárs (Gyógypedagógiai asszisztens) </t>
  </si>
  <si>
    <t xml:space="preserve">Pedagógiai munkatárs (Pedagógiai asszisztens) </t>
  </si>
  <si>
    <t xml:space="preserve">Közművelődési munkatárs </t>
  </si>
  <si>
    <t xml:space="preserve">Becsüs </t>
  </si>
  <si>
    <t xml:space="preserve">Bútor- és szőnyegbecsüs </t>
  </si>
  <si>
    <t xml:space="preserve">Bútorbolti eladó </t>
  </si>
  <si>
    <t xml:space="preserve">Drogerista </t>
  </si>
  <si>
    <t xml:space="preserve">Ékszerbecsüs </t>
  </si>
  <si>
    <t xml:space="preserve">Festménybecsüs </t>
  </si>
  <si>
    <t xml:space="preserve">Játékbolti eladó </t>
  </si>
  <si>
    <t xml:space="preserve">Műszaki eladó </t>
  </si>
  <si>
    <t xml:space="preserve">Műtárgybecsüs </t>
  </si>
  <si>
    <t xml:space="preserve">Numizmatikai becsüs </t>
  </si>
  <si>
    <t xml:space="preserve">Ruházati eladó </t>
  </si>
  <si>
    <t xml:space="preserve">Vegyi áru eladó </t>
  </si>
  <si>
    <t xml:space="preserve">Büntetés-végrehajtási egészségügyi főfelügyelő </t>
  </si>
  <si>
    <t xml:space="preserve">Büntetés-végrehajtási főfelügyelő </t>
  </si>
  <si>
    <t xml:space="preserve">Büntetés-végrehajtási gazdálkodási főfelügyelő </t>
  </si>
  <si>
    <t xml:space="preserve">Büntetés-végrehajtási igazgatási főfelügyelő </t>
  </si>
  <si>
    <t xml:space="preserve">Fegyveres biztonsági őr </t>
  </si>
  <si>
    <t xml:space="preserve">Határrendész és útlevélkezelő rendőrjárőr </t>
  </si>
  <si>
    <t xml:space="preserve">Katasztrófavédelmi tiszt </t>
  </si>
  <si>
    <t xml:space="preserve">Katasztrófavédelmi ügyintéző (polgári védelmi-iparbiztonsági) </t>
  </si>
  <si>
    <t xml:space="preserve">Közbiztonsági rendőrjárőr </t>
  </si>
  <si>
    <t xml:space="preserve">Közterület-felügyelő </t>
  </si>
  <si>
    <t xml:space="preserve">Kutyavezető vagyonőr </t>
  </si>
  <si>
    <t xml:space="preserve">Magánnyomozó </t>
  </si>
  <si>
    <t xml:space="preserve">Önkormányzati természetvédelmi őr </t>
  </si>
  <si>
    <t xml:space="preserve">Tűzoltó szerparancsnok </t>
  </si>
  <si>
    <t xml:space="preserve">Tűzvédelmi előadó </t>
  </si>
  <si>
    <t xml:space="preserve">Tűzvédelmi főelőadó </t>
  </si>
  <si>
    <t xml:space="preserve">Vagyonvédelmi rendszerszerelő </t>
  </si>
  <si>
    <t xml:space="preserve">Informatikai támogató munkatárs </t>
  </si>
  <si>
    <t xml:space="preserve">Junior frontend fejlesztő </t>
  </si>
  <si>
    <t xml:space="preserve">Képző- és iparművészeti munkatárs (Divatstílus és jelmeztervező) </t>
  </si>
  <si>
    <t xml:space="preserve">Képző- és iparművészeti munkatárs (Szobrász) </t>
  </si>
  <si>
    <t xml:space="preserve">Népi kézműves (Csipkekészítő) </t>
  </si>
  <si>
    <t xml:space="preserve">Népi kézműves (Fazekas) </t>
  </si>
  <si>
    <t xml:space="preserve">Népi kézműves (Kézi és gépi hímző) </t>
  </si>
  <si>
    <t xml:space="preserve">Népi kézműves (Szőnyegszövő) </t>
  </si>
  <si>
    <t xml:space="preserve">Artista I. (Zsonglőr) </t>
  </si>
  <si>
    <t xml:space="preserve">Artista II. (Akrobata) </t>
  </si>
  <si>
    <t xml:space="preserve">Artista II. (Bohóc) </t>
  </si>
  <si>
    <t xml:space="preserve">Artista II. (Egyensúlyozó) </t>
  </si>
  <si>
    <t xml:space="preserve">Artista II. (Légtornász) </t>
  </si>
  <si>
    <t xml:space="preserve">Artista II. (Társulati artista) </t>
  </si>
  <si>
    <t xml:space="preserve">Egyházzenész I. (Kántor kórusvezető) </t>
  </si>
  <si>
    <t xml:space="preserve">Egyházzenész II. (Kántor gitáros) </t>
  </si>
  <si>
    <t xml:space="preserve">Jazz zenész I. (Fafúvós) </t>
  </si>
  <si>
    <t xml:space="preserve">Jazz zenész II. (Billentyűs) </t>
  </si>
  <si>
    <t xml:space="preserve">Jazz zenész II. (Ütős) </t>
  </si>
  <si>
    <t xml:space="preserve">Klasszikus zenész I. (Hangkultúra) </t>
  </si>
  <si>
    <t xml:space="preserve">Klasszikus zenész I. (Zeneelmélet-szolfézs) </t>
  </si>
  <si>
    <t xml:space="preserve">Klasszikus zenész I. (Zeneszerzés) </t>
  </si>
  <si>
    <t xml:space="preserve">Klasszikus zenész II. (Húros-vonós) </t>
  </si>
  <si>
    <t xml:space="preserve">Klasszikus zenész II. (Ütős) </t>
  </si>
  <si>
    <t xml:space="preserve">Népzenész I. (Fafúvós) </t>
  </si>
  <si>
    <t xml:space="preserve">Népzenész II. (Húros-vonós) </t>
  </si>
  <si>
    <t xml:space="preserve">Szórakoztató zenész I. (Énekes szólista) </t>
  </si>
  <si>
    <t xml:space="preserve">Szórakoztató zenész I. (Rézfúvós) </t>
  </si>
  <si>
    <t xml:space="preserve">Táncos I. (Klasszikus balett táncos) </t>
  </si>
  <si>
    <t xml:space="preserve">Táncos I. (Színházi táncos) </t>
  </si>
  <si>
    <t xml:space="preserve">Táncos II. (Néptáncos) </t>
  </si>
  <si>
    <t xml:space="preserve">Barkács áruházi eladó </t>
  </si>
  <si>
    <t xml:space="preserve">Élemiszer-eladó </t>
  </si>
  <si>
    <t xml:space="preserve">Üzletvezető </t>
  </si>
  <si>
    <t xml:space="preserve">Büntetés-végrehajtási felügyelő </t>
  </si>
  <si>
    <t xml:space="preserve">Büntetés-végrehajtási szervező </t>
  </si>
  <si>
    <t xml:space="preserve">Katasztrófavédelmi munkatárs (polgári védelmi-iparbiztonsági) </t>
  </si>
  <si>
    <t xml:space="preserve">Állatorvosi asszisztens </t>
  </si>
  <si>
    <t xml:space="preserve">Automatikai berendezés karbantartó </t>
  </si>
  <si>
    <t xml:space="preserve">Elektronikai gyártósori műszerész </t>
  </si>
  <si>
    <t xml:space="preserve">PLC programozó </t>
  </si>
  <si>
    <t xml:space="preserve">Erőművi blokkgépész </t>
  </si>
  <si>
    <t xml:space="preserve">Erőművi gépész </t>
  </si>
  <si>
    <t xml:space="preserve">Erőművi gőzturbina gépész </t>
  </si>
  <si>
    <t xml:space="preserve">Erőművi kazángépész </t>
  </si>
  <si>
    <t xml:space="preserve">Gáz- és hőtermelő berendezés - szerelő </t>
  </si>
  <si>
    <t xml:space="preserve">Gázipari műszaki-biztonsági felülvizsgáló </t>
  </si>
  <si>
    <t xml:space="preserve">Gázturbina gépész </t>
  </si>
  <si>
    <t xml:space="preserve">Háztartási gép szerviz-szaktechnikus </t>
  </si>
  <si>
    <t xml:space="preserve">Hűtéstechnikai berendezés üzemeltető </t>
  </si>
  <si>
    <t xml:space="preserve">Hűtő-, klíma- és hőszivattyú berendezés-szerelő </t>
  </si>
  <si>
    <t xml:space="preserve">Ipari olaj- és gáztüzelő-berendezés kezelő </t>
  </si>
  <si>
    <t xml:space="preserve">Kazángépész (12 t/h felett) </t>
  </si>
  <si>
    <t xml:space="preserve">Kazánkezelő (max. 12 t/h) </t>
  </si>
  <si>
    <t xml:space="preserve">Kereskedelmi, háztartási és vendéglátóipari gépszerelő </t>
  </si>
  <si>
    <t xml:space="preserve">Kisfeszültségű csatlakozó- és közvilágítási FAM szerelő </t>
  </si>
  <si>
    <t xml:space="preserve">Kisfeszültségű FAM kábelszerelő </t>
  </si>
  <si>
    <t xml:space="preserve">Kisfeszültségű mérőhelyi FAM szerelő </t>
  </si>
  <si>
    <t xml:space="preserve">Kisfeszültségű szabadvezeték hálózati FAM szerelő </t>
  </si>
  <si>
    <t xml:space="preserve">Kisfeszültségű szakszolgálati FAM szerelő </t>
  </si>
  <si>
    <t xml:space="preserve">Középfeszültségű FAM szerelő kombinált technológiával </t>
  </si>
  <si>
    <t xml:space="preserve">Középfeszültségű FAM szerelő távolból végzett technológiával </t>
  </si>
  <si>
    <t xml:space="preserve">Középfeszültségű kábelszerelő </t>
  </si>
  <si>
    <t xml:space="preserve">Létesítmény energetikus </t>
  </si>
  <si>
    <t xml:space="preserve">Megújuló és egyéb primer energiaforrású kiserőmű erősáramú létesítője </t>
  </si>
  <si>
    <t xml:space="preserve">Villamos alállomás kezelő </t>
  </si>
  <si>
    <t xml:space="preserve">Villamos biztonsági felülvizsgáló </t>
  </si>
  <si>
    <t xml:space="preserve">Villamos elosztóhálózat szerelő, üzemeltető </t>
  </si>
  <si>
    <t xml:space="preserve">Villamos hálózat kezelő </t>
  </si>
  <si>
    <t xml:space="preserve">Villamos távvezeték építő, üzemeltető </t>
  </si>
  <si>
    <t xml:space="preserve">Villámvédelmi felülvizsgáló </t>
  </si>
  <si>
    <t xml:space="preserve">CNC vezérlésű lemezmegmunkáló gépkezelő </t>
  </si>
  <si>
    <t xml:space="preserve">Gépi kovács </t>
  </si>
  <si>
    <t xml:space="preserve">Hengerész </t>
  </si>
  <si>
    <t xml:space="preserve">Kerékpárszerelő </t>
  </si>
  <si>
    <t xml:space="preserve">Mozgólépcső karbantartó-szerelő </t>
  </si>
  <si>
    <t xml:space="preserve">Olvasztár és öntő </t>
  </si>
  <si>
    <t xml:space="preserve">Órás </t>
  </si>
  <si>
    <t xml:space="preserve">Öntészeti mintakészítő </t>
  </si>
  <si>
    <t xml:space="preserve">Vas- és acélfeldolgozó </t>
  </si>
  <si>
    <t xml:space="preserve">Sport- és kedvtelési célú vízi jármű motorszerelője </t>
  </si>
  <si>
    <t xml:space="preserve">Vasúti jármű diagnosztikus </t>
  </si>
  <si>
    <t xml:space="preserve">Drog- és toxikológiai szaktechnikus </t>
  </si>
  <si>
    <t xml:space="preserve">Gyógyszeripari szaktechnikus </t>
  </si>
  <si>
    <t xml:space="preserve">Műszeres analitikus </t>
  </si>
  <si>
    <t xml:space="preserve">Vegyipari rendszerüzemeltető szaktechnikus </t>
  </si>
  <si>
    <t xml:space="preserve">Betegkísérő </t>
  </si>
  <si>
    <t xml:space="preserve">Műtőssegéd-gipszmester </t>
  </si>
  <si>
    <t xml:space="preserve">Digitális fogtechnika </t>
  </si>
  <si>
    <t xml:space="preserve">Fülilleszték készítő </t>
  </si>
  <si>
    <t xml:space="preserve">Orthodontia </t>
  </si>
  <si>
    <t xml:space="preserve">Boncmester </t>
  </si>
  <si>
    <t xml:space="preserve">Fertőtlenítő-sterilező </t>
  </si>
  <si>
    <t xml:space="preserve">Gyógyászati segédeszköz forgalmazó </t>
  </si>
  <si>
    <t xml:space="preserve">Térképész </t>
  </si>
  <si>
    <t xml:space="preserve">Díszmű- és műemléki bádogos </t>
  </si>
  <si>
    <t xml:space="preserve">Égéstermék-elvezető építő, szerelő, karbantartó </t>
  </si>
  <si>
    <t xml:space="preserve">Homlokzatépítő és -szerelő </t>
  </si>
  <si>
    <t xml:space="preserve">Műemlékfenntartó szaktechnikus </t>
  </si>
  <si>
    <t xml:space="preserve">Műemléki díszítőszobrász </t>
  </si>
  <si>
    <t xml:space="preserve">Műemléki helyreállító </t>
  </si>
  <si>
    <t xml:space="preserve">Nyílászáró és árnyékolástechnikai szerelő, beépítő </t>
  </si>
  <si>
    <t xml:space="preserve">Rekonstrukciós és műemléki festő, mázoló </t>
  </si>
  <si>
    <t xml:space="preserve">Üveges </t>
  </si>
  <si>
    <t xml:space="preserve">Vízgépészeti és technológiai berendezésszerelő </t>
  </si>
  <si>
    <t xml:space="preserve">Vízkútfúró </t>
  </si>
  <si>
    <t xml:space="preserve">Fakitermelő </t>
  </si>
  <si>
    <t xml:space="preserve">Gallyazó-daraboló </t>
  </si>
  <si>
    <t xml:space="preserve">Külszíni bányász </t>
  </si>
  <si>
    <t xml:space="preserve">Mélyfúró </t>
  </si>
  <si>
    <t xml:space="preserve">Molnár </t>
  </si>
  <si>
    <t xml:space="preserve">Száraztésztagyártó </t>
  </si>
  <si>
    <t xml:space="preserve">Bútorműves, műbútorasztalos </t>
  </si>
  <si>
    <t xml:space="preserve">Extrudergép-kezelő </t>
  </si>
  <si>
    <t xml:space="preserve">Faipari gépkezelő </t>
  </si>
  <si>
    <t xml:space="preserve">Fröccsöntő </t>
  </si>
  <si>
    <t xml:space="preserve">Gumikeverék-készítő </t>
  </si>
  <si>
    <t xml:space="preserve">Ipari gumitermék-előállító </t>
  </si>
  <si>
    <t xml:space="preserve">Kádár, bognár </t>
  </si>
  <si>
    <t xml:space="preserve">Kalandergép-kezelő </t>
  </si>
  <si>
    <t xml:space="preserve">Műanyag hegesztő </t>
  </si>
  <si>
    <t xml:space="preserve">Nyomdai formakészítő </t>
  </si>
  <si>
    <t xml:space="preserve">Színátalakító (Color converter) </t>
  </si>
  <si>
    <t xml:space="preserve">Vágógép-kezelő </t>
  </si>
  <si>
    <t xml:space="preserve">Vulkanizálógép kezelő </t>
  </si>
  <si>
    <t xml:space="preserve">Keveréktakarmány-gyártó </t>
  </si>
  <si>
    <t xml:space="preserve">Cipőfelsőrész-készítő </t>
  </si>
  <si>
    <t xml:space="preserve">Csecsemő és gyermek ruházat készítő </t>
  </si>
  <si>
    <t xml:space="preserve">Kötöttáru-összeállító </t>
  </si>
  <si>
    <t xml:space="preserve">Munkaruha- és védőruha készítő </t>
  </si>
  <si>
    <t xml:space="preserve">Szűcs </t>
  </si>
  <si>
    <t xml:space="preserve">Textiltisztító és textilszínező </t>
  </si>
  <si>
    <t xml:space="preserve">Földügyi térinformatikus </t>
  </si>
  <si>
    <t xml:space="preserve">Formacikk-gyártó </t>
  </si>
  <si>
    <t xml:space="preserve">Ipari üvegműves </t>
  </si>
  <si>
    <t xml:space="preserve">Üveggyártó </t>
  </si>
  <si>
    <t xml:space="preserve">Elektromos halászgép kezelője </t>
  </si>
  <si>
    <t xml:space="preserve">Emelőgép-ügyintéző </t>
  </si>
  <si>
    <t xml:space="preserve">Munkavédelmi előadó </t>
  </si>
  <si>
    <t xml:space="preserve">Egészségügyi kártevőirtó </t>
  </si>
  <si>
    <t xml:space="preserve">Víz- és csatornamű kezelő </t>
  </si>
  <si>
    <t xml:space="preserve">Dísznövénykertész </t>
  </si>
  <si>
    <t xml:space="preserve">Mezőgazdasági gépjavító </t>
  </si>
  <si>
    <t xml:space="preserve">Távérzékelési képfeldolgozó </t>
  </si>
  <si>
    <t xml:space="preserve">Biogazdálkodó </t>
  </si>
  <si>
    <t xml:space="preserve">Belovagló </t>
  </si>
  <si>
    <t xml:space="preserve">Lóápoló és gondozó </t>
  </si>
  <si>
    <t xml:space="preserve">Méhész </t>
  </si>
  <si>
    <t xml:space="preserve">Zöldség- és gyümölcstermesztő </t>
  </si>
  <si>
    <t xml:space="preserve">Gát- és csatornaőr </t>
  </si>
  <si>
    <t xml:space="preserve">Kályhás </t>
  </si>
  <si>
    <t xml:space="preserve">Nyomástartóedény-gépész </t>
  </si>
  <si>
    <t xml:space="preserve">Robbanásbiztos berendezés szerelője </t>
  </si>
  <si>
    <t xml:space="preserve">Vízügyi gépész </t>
  </si>
  <si>
    <t xml:space="preserve">Felvonó- és mozgólépcső ellenőr </t>
  </si>
  <si>
    <t xml:space="preserve">Felvonószerelő </t>
  </si>
  <si>
    <t xml:space="preserve">Folyamatszabályozó gépmester </t>
  </si>
  <si>
    <t xml:space="preserve">Könyvművész, könyvrestaurátor </t>
  </si>
  <si>
    <t xml:space="preserve">Lakberendező </t>
  </si>
  <si>
    <t xml:space="preserve">Könyv- és papírrestaurátor </t>
  </si>
  <si>
    <t xml:space="preserve">Műtárgyvédelmi munkatárs - Múzeumi gyűjtemény és raktárkezelő </t>
  </si>
  <si>
    <t xml:space="preserve">Műtárgyvédelmi munkatárs - Műtárgyvédelmi asszisztens </t>
  </si>
  <si>
    <t xml:space="preserve">Aranyműves </t>
  </si>
  <si>
    <t xml:space="preserve">Díszműkovács </t>
  </si>
  <si>
    <t xml:space="preserve">Ezüstműves </t>
  </si>
  <si>
    <t xml:space="preserve">Népi játék és kismesterségek oktatója </t>
  </si>
  <si>
    <t xml:space="preserve">Üvegcsiszoló </t>
  </si>
  <si>
    <t xml:space="preserve">Vésnök </t>
  </si>
  <si>
    <t xml:space="preserve">Virágdekoratőr </t>
  </si>
  <si>
    <t xml:space="preserve">Virágkötő és virágkereskedő </t>
  </si>
  <si>
    <t xml:space="preserve">Kaszkadőr (autós kaszkadőr) </t>
  </si>
  <si>
    <t xml:space="preserve">Kaszkadőr (gyalogos kaszkadőr) </t>
  </si>
  <si>
    <t xml:space="preserve">Kaszkadőr (lovas kaszkadőr) </t>
  </si>
  <si>
    <t xml:space="preserve">Kaszkadőr (motoros kaszkadőr) </t>
  </si>
  <si>
    <t xml:space="preserve">Kaszkadőrszakértő </t>
  </si>
  <si>
    <t xml:space="preserve">Sminkes és szempillaépítő </t>
  </si>
  <si>
    <t xml:space="preserve">Testtetováló </t>
  </si>
  <si>
    <t xml:space="preserve">Kéményseprő </t>
  </si>
  <si>
    <t xml:space="preserve">Temetkezési szolgáltató </t>
  </si>
  <si>
    <t xml:space="preserve">Csoportos fitness instruktor </t>
  </si>
  <si>
    <t xml:space="preserve">Fitness instruktor </t>
  </si>
  <si>
    <t xml:space="preserve">Sportszervező munkatárs </t>
  </si>
  <si>
    <t xml:space="preserve">Személyi edző </t>
  </si>
  <si>
    <t xml:space="preserve">Falusi turizmus szolgáltató </t>
  </si>
  <si>
    <t xml:space="preserve">Szállodahajós, szállodai személyzet </t>
  </si>
  <si>
    <t xml:space="preserve">Szállodai recepciós </t>
  </si>
  <si>
    <t xml:space="preserve">Tisztítás-technológiai szolgáltatásvezető – Housekeeping -Stewarding </t>
  </si>
  <si>
    <t xml:space="preserve">Demencia gondozó </t>
  </si>
  <si>
    <t xml:space="preserve">Kulturális rendezvény szervezője </t>
  </si>
  <si>
    <t xml:space="preserve">Családellátó </t>
  </si>
  <si>
    <t xml:space="preserve">Patkolókovács </t>
  </si>
  <si>
    <t xml:space="preserve">Ingatlankezelő </t>
  </si>
  <si>
    <t xml:space="preserve">Kutyakozmetikus </t>
  </si>
  <si>
    <t xml:space="preserve">Levéltári asszisztens, ügykezelő, irattáros </t>
  </si>
  <si>
    <t xml:space="preserve">Adótanácsadó </t>
  </si>
  <si>
    <t xml:space="preserve">Államháztartási mérlegképes könyvelő </t>
  </si>
  <si>
    <t xml:space="preserve">IFRS mérlegképes könyvelő </t>
  </si>
  <si>
    <t xml:space="preserve">Okleveles adószakértő </t>
  </si>
  <si>
    <t xml:space="preserve">Pénzügyi szervezeti mérlegképes könyvelő </t>
  </si>
  <si>
    <t xml:space="preserve">Vállalkozási mérlegképes könyvelő </t>
  </si>
  <si>
    <t xml:space="preserve">Vámügyintéző </t>
  </si>
  <si>
    <t xml:space="preserve">Társasházkezelő </t>
  </si>
  <si>
    <t xml:space="preserve">Ingatlanközvetítő </t>
  </si>
  <si>
    <t xml:space="preserve">Raktárvezető </t>
  </si>
  <si>
    <t xml:space="preserve">Töltőállomás-kezelő </t>
  </si>
  <si>
    <t xml:space="preserve">Banki, befektetési termékértékesítő </t>
  </si>
  <si>
    <t xml:space="preserve">Biztosításközvetítő (függő és független) </t>
  </si>
  <si>
    <t xml:space="preserve">Pénztárkezelő és valutapénztáros </t>
  </si>
  <si>
    <t xml:space="preserve">Számítógépes adatrögzítő </t>
  </si>
  <si>
    <t xml:space="preserve">Kisalegység vezető, csoportparancsnok (ABV védelmi altiszt) </t>
  </si>
  <si>
    <t xml:space="preserve">Kisalegység vezető, csoportparancsnok (Alap Altiszti Tanfolyam) </t>
  </si>
  <si>
    <t xml:space="preserve">Kisalegység vezető, csoportparancsnok (Ejtőernyős altiszt) </t>
  </si>
  <si>
    <t xml:space="preserve">Kisalegység vezető, csoportparancsnok (Elektronikai hadviselés altiszt) </t>
  </si>
  <si>
    <t xml:space="preserve">Kisalegység vezető, csoportparancsnok (Élelmezési ellátó altiszt) </t>
  </si>
  <si>
    <t xml:space="preserve">Kisalegység vezető, csoportparancsnok (Felderítő altiszt) </t>
  </si>
  <si>
    <t xml:space="preserve">Kisalegység vezető, csoportparancsnok (Földi Repülésbiztosító Rendszer Üzemeltető altiszt) </t>
  </si>
  <si>
    <t xml:space="preserve">Kisalegység vezető, csoportparancsnok (Harckocsizó altiszt) </t>
  </si>
  <si>
    <t xml:space="preserve">Kisalegység vezető, csoportparancsnok (Helikopter fedélzeti altiszt) </t>
  </si>
  <si>
    <t xml:space="preserve">Kisalegység vezető, csoportparancsnok (Infokommunikációs altiszt) </t>
  </si>
  <si>
    <t xml:space="preserve">Kisalegység vezető, csoportparancsnok (Informatikai altiszt) </t>
  </si>
  <si>
    <t xml:space="preserve">Kisalegység vezető, csoportparancsnok (Katonai rendész, komendáns altiszt) </t>
  </si>
  <si>
    <t xml:space="preserve">Kisalegység vezető, csoportparancsnok (Képi felderítő altiszt) </t>
  </si>
  <si>
    <t xml:space="preserve">Kisalegység vezető, csoportparancsnok (Közlekedési és szállító altiszt) </t>
  </si>
  <si>
    <t xml:space="preserve">Kisalegység vezető, csoportparancsnok (Légédelmi rakéta altiszt) </t>
  </si>
  <si>
    <t xml:space="preserve">Kisalegység vezető, csoportparancsnok (Légivezetés altiszt) </t>
  </si>
  <si>
    <t xml:space="preserve">Kisalegység vezető, csoportparancsnok (Lövész altiszt) </t>
  </si>
  <si>
    <t xml:space="preserve">Kisalegység vezető, csoportparancsnok (Műszaki altiszt) </t>
  </si>
  <si>
    <t xml:space="preserve">Kisalegység vezető, csoportparancsnok (radarüzemeltető altiszt) </t>
  </si>
  <si>
    <t xml:space="preserve">Kisalegység vezető, csoportparancsnok (Rejtjelző altiszt) </t>
  </si>
  <si>
    <t xml:space="preserve">Kisalegység vezető, csoportparancsnok (Ruházati ellátó altiszt) </t>
  </si>
  <si>
    <t xml:space="preserve">Kisalegység vezető, csoportparancsnok (Tábori tüzér altiszt) </t>
  </si>
  <si>
    <t xml:space="preserve">Kisalegység vezető, csoportparancsnok (Üzemanyag-ellátó altiszt) </t>
  </si>
  <si>
    <t xml:space="preserve">Tűzoltó </t>
  </si>
  <si>
    <t>https://szakkepesites.ikk.hu/#kereses</t>
  </si>
  <si>
    <t>Szakképesítés sorszáma
(PK 1-8. karaktere)</t>
  </si>
  <si>
    <t>Ágazat
(PK 2.2. pont)</t>
  </si>
  <si>
    <t>Minimum óraszám
(PK 8.1. pont)</t>
  </si>
  <si>
    <t>Maximum óraszám
(PK 8.2. pont)</t>
  </si>
  <si>
    <t>Fodrász vegyszeres szakember</t>
  </si>
  <si>
    <t xml:space="preserve">Ingatlanvagyon-értékelő és -közvetítő </t>
  </si>
  <si>
    <t xml:space="preserve">Munkaerő-gazdálkodási és társadalombiztosítási ügyintéző </t>
  </si>
  <si>
    <t>07134030</t>
  </si>
  <si>
    <t>07153010</t>
  </si>
  <si>
    <t>07154004</t>
  </si>
  <si>
    <t>09133001</t>
  </si>
  <si>
    <t>09134002</t>
  </si>
  <si>
    <t>09144001</t>
  </si>
  <si>
    <t>09144002</t>
  </si>
  <si>
    <t>09154001</t>
  </si>
  <si>
    <t>07324003</t>
  </si>
  <si>
    <t>07004002</t>
  </si>
  <si>
    <t>02135013</t>
  </si>
  <si>
    <t>02145022</t>
  </si>
  <si>
    <t>02144023</t>
  </si>
  <si>
    <t>02145021</t>
  </si>
  <si>
    <t>02143017</t>
  </si>
  <si>
    <t>02143016</t>
  </si>
  <si>
    <t>04115006</t>
  </si>
  <si>
    <t>04115005</t>
  </si>
  <si>
    <t>04115003</t>
  </si>
  <si>
    <t>04116007</t>
  </si>
  <si>
    <t>04115004</t>
  </si>
  <si>
    <t>04115002</t>
  </si>
  <si>
    <t>04175001</t>
  </si>
  <si>
    <t>04164015</t>
  </si>
  <si>
    <t>04124003</t>
  </si>
  <si>
    <t>04124002</t>
  </si>
  <si>
    <t>04124001</t>
  </si>
  <si>
    <t>szakképesítés sorszám karakterszám ellenőrzés</t>
  </si>
  <si>
    <t>Gazdálkodás és Menedzsment</t>
  </si>
  <si>
    <t xml:space="preserve">Táncos II. (Kortárs-, modern táncos) </t>
  </si>
  <si>
    <t>2021. évi nyitó támogatási időszak</t>
  </si>
  <si>
    <t>Összesen elszámolt támogatási  összeg (ezer forintra kerekítve)
(Ft)</t>
  </si>
  <si>
    <r>
      <t xml:space="preserve">Rész-elszámolás normatív támogatásról,
a szakképző intézmények szakképzésről szóló törvény szerinti ingyenes képzéseinek 
</t>
    </r>
    <r>
      <rPr>
        <b/>
        <i/>
        <sz val="12"/>
        <color theme="1"/>
        <rFont val="Times New Roman"/>
        <family val="1"/>
        <charset val="238"/>
      </rPr>
      <t xml:space="preserve">- a fejezeti kezelésű előirányzatok és központi kezelésű előirányzatok kezeléséről és felhasználásáról szóló
 14/2019. (VI. 12.) ITM rendelet szerinti - </t>
    </r>
    <r>
      <rPr>
        <b/>
        <sz val="12"/>
        <color theme="1"/>
        <rFont val="Times New Roman"/>
        <family val="1"/>
        <charset val="238"/>
      </rPr>
      <t xml:space="preserve">
kiegészítő finanszírozása tekintetében</t>
    </r>
  </si>
  <si>
    <r>
      <t xml:space="preserve">A támogatás rész-elszámolás szerinti egyenlege (Ft)
</t>
    </r>
    <r>
      <rPr>
        <sz val="12"/>
        <color theme="1"/>
        <rFont val="Times New Roman"/>
        <family val="1"/>
        <charset val="238"/>
      </rPr>
      <t xml:space="preserve">/ amennyiben ez az összeg a záró elszámolás alapján pozitív összeg lesz, az visszafizetési kötelezettséget, 
ha negatív összeg, az kiegészítő támogatást jelent /
</t>
    </r>
    <r>
      <rPr>
        <b/>
        <sz val="12"/>
        <color theme="1"/>
        <rFont val="Times New Roman"/>
        <family val="1"/>
        <charset val="238"/>
      </rPr>
      <t xml:space="preserve">
A rész-elszámolás alapján nem történik egyenlegrendezés.</t>
    </r>
  </si>
  <si>
    <t>Támogatási előleg összege a kérelem alapján (ezer forintra kerekítve)
(Ft)</t>
  </si>
  <si>
    <t>2021. nyitó támogatási időszak</t>
  </si>
  <si>
    <t>Kitöltés utáni logikai ellenőrzés 1</t>
  </si>
  <si>
    <t>Kitöltés utáni logikai ellenőrzés 2</t>
  </si>
  <si>
    <t>Kitöltés utáni logikai ellenőrzés 3</t>
  </si>
  <si>
    <t>KITÖLTÉS UTÁNI LOGIKAI ELLENŐRZÉSEK</t>
  </si>
  <si>
    <r>
      <t xml:space="preserve">Elszámolt támogatási összeg a szakmai oktatásban részt vettek létszáma alapján
</t>
    </r>
    <r>
      <rPr>
        <b/>
        <sz val="10"/>
        <color rgb="FFFF0000"/>
        <rFont val="Calibri"/>
        <family val="2"/>
        <charset val="238"/>
        <scheme val="minor"/>
      </rPr>
      <t>(az éves elszámolás során kerül érvényesítésre)</t>
    </r>
    <r>
      <rPr>
        <b/>
        <sz val="10"/>
        <color theme="1"/>
        <rFont val="Calibri"/>
        <family val="2"/>
        <charset val="238"/>
        <scheme val="minor"/>
      </rPr>
      <t xml:space="preserve">
(Ft)</t>
    </r>
  </si>
  <si>
    <r>
      <t xml:space="preserve">Elszámolt támogatási összeg a sikeres vizsgázók létszáma alapján 
</t>
    </r>
    <r>
      <rPr>
        <b/>
        <sz val="10"/>
        <color rgb="FFFF0000"/>
        <rFont val="Calibri"/>
        <family val="2"/>
        <charset val="238"/>
        <scheme val="minor"/>
      </rPr>
      <t>(az éves elszámolás során kerül érvényesítésre)</t>
    </r>
    <r>
      <rPr>
        <b/>
        <sz val="10"/>
        <color theme="1"/>
        <rFont val="Calibri"/>
        <family val="2"/>
        <charset val="238"/>
        <scheme val="minor"/>
      </rPr>
      <t xml:space="preserve">
(Ft)</t>
    </r>
  </si>
  <si>
    <r>
      <t xml:space="preserve">Elszámolt támogatási összeg a csak tanúsítványt szerzők létszáma alapján 
</t>
    </r>
    <r>
      <rPr>
        <b/>
        <sz val="10"/>
        <color rgb="FFFF0000"/>
        <rFont val="Calibri"/>
        <family val="2"/>
        <charset val="238"/>
        <scheme val="minor"/>
      </rPr>
      <t>(az éves elszámolás során kerül érvényesítésre)</t>
    </r>
    <r>
      <rPr>
        <b/>
        <sz val="10"/>
        <color theme="1"/>
        <rFont val="Calibri"/>
        <family val="2"/>
        <charset val="238"/>
        <scheme val="minor"/>
      </rPr>
      <t xml:space="preserve">
(Ft)</t>
    </r>
  </si>
  <si>
    <t>Kitöltés utáni logikai ellenőrzés 4</t>
  </si>
  <si>
    <t>Kitöltés utáni logikai ellenőrzés 5</t>
  </si>
  <si>
    <t>Kitöltés utáni logikai ellenőrzés 6</t>
  </si>
  <si>
    <t>Kitöltés utáni logikai ellenőrzés</t>
  </si>
  <si>
    <t>KITÖLTÉS UTÁNI LOGIKAI ELLENŐRZÉS</t>
  </si>
  <si>
    <t>MÉG KITÖLTENDŐ CELLÁK SZÁMA ÖSSZESEN:</t>
  </si>
  <si>
    <t>2021. záró támogatási időszak</t>
  </si>
  <si>
    <t>_2021_2022_ősz</t>
  </si>
  <si>
    <t>2021. évi záró támogatási időszak</t>
  </si>
  <si>
    <r>
      <t xml:space="preserve">Záró elszámolás normatív támogatásról,
a szakképző intézmények szakképzésről szóló törvény szerinti ingyenes képzéseinek 
</t>
    </r>
    <r>
      <rPr>
        <b/>
        <i/>
        <sz val="12"/>
        <color theme="1"/>
        <rFont val="Times New Roman"/>
        <family val="1"/>
        <charset val="238"/>
      </rPr>
      <t xml:space="preserve">- a fejezeti kezelésű előirányzatok és központi kezelésű előirányzatok kezeléséről és felhasználásáról szóló
 14/2019. (VI. 12.) ITM rendelet szerinti - </t>
    </r>
    <r>
      <rPr>
        <b/>
        <sz val="12"/>
        <color theme="1"/>
        <rFont val="Times New Roman"/>
        <family val="1"/>
        <charset val="238"/>
      </rPr>
      <t xml:space="preserve">
kiegészítő finanszírozása tekintetében</t>
    </r>
  </si>
  <si>
    <t>A 2021. évi záró támogatási időszak zárása  (elszámolása) alapján a támogatási  összeg (ezer forintra kerekítve)
(Ft)</t>
  </si>
  <si>
    <r>
      <t xml:space="preserve">Elszámolt támogatási összeg
</t>
    </r>
    <r>
      <rPr>
        <b/>
        <sz val="10"/>
        <color rgb="FFFF0000"/>
        <rFont val="Calibri"/>
        <family val="2"/>
        <charset val="238"/>
        <scheme val="minor"/>
      </rPr>
      <t>(az éves elszámolás során kerül érvényesítésre)</t>
    </r>
    <r>
      <rPr>
        <b/>
        <sz val="10"/>
        <color theme="1"/>
        <rFont val="Calibri"/>
        <family val="2"/>
        <charset val="238"/>
        <scheme val="minor"/>
      </rPr>
      <t xml:space="preserve">
(Ft)</t>
    </r>
  </si>
  <si>
    <t>A 2021. évi nyitó támogatási időszak tekintetében elszámolásra kerülő támogatási  összeg (ezer forintra kerekítve)
(Ft)</t>
  </si>
  <si>
    <t>Visszafizetési kötelezettség</t>
  </si>
  <si>
    <t>Kiegészítő támogatás</t>
  </si>
  <si>
    <t>2021. nyitó támogatási időszak támogatói okiratának azonosító száma</t>
  </si>
  <si>
    <t>2021. záró támogatási időszak támogatói okirat módosításának azonosító száma</t>
  </si>
  <si>
    <t>Szakmai_oktatás_1 előleg összege (Ft)</t>
  </si>
  <si>
    <t>Szakmai_képzés_1előleg összege (Ft)</t>
  </si>
  <si>
    <t>Egyéb_képzés_1 előleg összege (Ft)</t>
  </si>
  <si>
    <t>Felnőttokt._Szakk.+Egyéb_képz_1 előleg összege (Ft)</t>
  </si>
  <si>
    <t>2021. nyitó időszakra ténylegesen biztosított előleg (Ft)</t>
  </si>
  <si>
    <t>2021. záró időszakra ténylegesen biztosított előleg (Ft)</t>
  </si>
  <si>
    <t>Szakmai_oktatás_2 előleg összege (Ft)</t>
  </si>
  <si>
    <t>Szakmai_képzés_2 előleg összege (Ft)</t>
  </si>
  <si>
    <t>Egyéb_képzés_2 előleg összege (Ft)</t>
  </si>
  <si>
    <t>Felnőttokt._Szakk.+Egyéb_képz_2 előleg összege (Ft)</t>
  </si>
  <si>
    <t>Nyitó időszak elszámolása alapján megállapított tényleges jogosultság az éves záráskor (Ft)</t>
  </si>
  <si>
    <t>Záró időszak elszámolása alapján megállapított tényleges jogosultság az éves záráskor (Ft)</t>
  </si>
  <si>
    <t>Nyitó és záró időszak elszámolása alapján megállapított tényleges jogosultság mindösszesen az éves záráskor (Ft)</t>
  </si>
  <si>
    <r>
      <t xml:space="preserve">Egyenleg (előlegeken felül biztosítandó vagy </t>
    </r>
    <r>
      <rPr>
        <b/>
        <sz val="11"/>
        <color rgb="FFFF0000"/>
        <rFont val="Times New Roman"/>
        <family val="1"/>
        <charset val="238"/>
      </rPr>
      <t>maradvány</t>
    </r>
    <r>
      <rPr>
        <b/>
        <sz val="11"/>
        <color theme="1"/>
        <rFont val="Times New Roman"/>
        <family val="1"/>
        <charset val="238"/>
      </rPr>
      <t>) (Ft)</t>
    </r>
  </si>
  <si>
    <t>_2020_2021_ősz_</t>
  </si>
  <si>
    <t>_2021_2022_ősz_</t>
  </si>
  <si>
    <t>2021.09.01-től 2,85 4-es és 5-ös MKKR szintnél is.</t>
  </si>
  <si>
    <t>Állatorvosi asszisztens</t>
  </si>
  <si>
    <t>PLC programozó</t>
  </si>
  <si>
    <t>Hűtéstechnikai berendezés üzemeltető</t>
  </si>
  <si>
    <t>Villamos távvezeték építő, üzemeltető</t>
  </si>
  <si>
    <t>Gáz- és hőtermelő berendezés - szerelő</t>
  </si>
  <si>
    <t>Erőművi gépész</t>
  </si>
  <si>
    <t>Középfeszültségű FAM szerelő távolból végzett technológiával</t>
  </si>
  <si>
    <t>Középfeszültségű FAM szerelő kombinált technológiával</t>
  </si>
  <si>
    <t>Kisfeszültségű mérőhelyi FAM szerelő</t>
  </si>
  <si>
    <t>Villamos biztonsági felülvizsgáló</t>
  </si>
  <si>
    <t>Létesítmény energetikus</t>
  </si>
  <si>
    <t>Kisfeszültségű FAM kábelszerelő</t>
  </si>
  <si>
    <t>07144007</t>
  </si>
  <si>
    <t>Alapozó- és közműgépkezelő</t>
  </si>
  <si>
    <t>07193001</t>
  </si>
  <si>
    <t>X</t>
  </si>
  <si>
    <t>Hidraulikus és pneumatikus berendezések kezelője</t>
  </si>
  <si>
    <t>07193002</t>
  </si>
  <si>
    <t>Vasúti munkagépkezelő</t>
  </si>
  <si>
    <t>07193003</t>
  </si>
  <si>
    <t>Mozgólépcső karbantartó-szerelő</t>
  </si>
  <si>
    <t>Vas- és acélfeldolgozó</t>
  </si>
  <si>
    <t>Hengerész</t>
  </si>
  <si>
    <t>Kerékpárszerelő</t>
  </si>
  <si>
    <t>07153009</t>
  </si>
  <si>
    <t>CNC vezérlésű lemezmegmunkáló gépkezelő</t>
  </si>
  <si>
    <t>Olvasztár és öntő</t>
  </si>
  <si>
    <t>Öntészeti mintakészítő</t>
  </si>
  <si>
    <t>Bevontelektródás kézi ívhegesztő</t>
  </si>
  <si>
    <t>07153011</t>
  </si>
  <si>
    <t>Fogyóelektródás védőgázas ívhegesztő</t>
  </si>
  <si>
    <t>07153012</t>
  </si>
  <si>
    <t>Gázhegesztő</t>
  </si>
  <si>
    <t>07153014</t>
  </si>
  <si>
    <t>Volfrámelektródás védőgázas ívhegesztő</t>
  </si>
  <si>
    <t>07153013</t>
  </si>
  <si>
    <t>Sport- és kedvtelési célú vízi jármű motorszerelője</t>
  </si>
  <si>
    <t>Vasúti jármű diagnosztikus</t>
  </si>
  <si>
    <t>Vezető pirotechnikus</t>
  </si>
  <si>
    <t>07114005</t>
  </si>
  <si>
    <t>Betegkísérő</t>
  </si>
  <si>
    <t>09135003</t>
  </si>
  <si>
    <t>09135004</t>
  </si>
  <si>
    <t>09135005</t>
  </si>
  <si>
    <t>Hospice szakápoló, palliatív gondozó</t>
  </si>
  <si>
    <t>09135006</t>
  </si>
  <si>
    <t>09165001</t>
  </si>
  <si>
    <t>09153005</t>
  </si>
  <si>
    <t>Gyógyászati segédeszköz forgalmazó</t>
  </si>
  <si>
    <t>Regeneráló wellness szakember</t>
  </si>
  <si>
    <t>09154003</t>
  </si>
  <si>
    <t>09155006</t>
  </si>
  <si>
    <t>Égéstermék-elvezető építő, szerelő, karbantartó</t>
  </si>
  <si>
    <t>Homlokzatépítő és -szerelő</t>
  </si>
  <si>
    <t>Üveges</t>
  </si>
  <si>
    <t>Nyílászáró és árnyékolástechnikai szerelő, beépítő</t>
  </si>
  <si>
    <t>07325003</t>
  </si>
  <si>
    <t>Külszíni bányász</t>
  </si>
  <si>
    <t>Száraztésztagyártó</t>
  </si>
  <si>
    <t>Növényolajgyártó</t>
  </si>
  <si>
    <t>Műanyag hegesztő</t>
  </si>
  <si>
    <t>Fröccsöntő</t>
  </si>
  <si>
    <t>Vágógép-kezelő</t>
  </si>
  <si>
    <t>Gumikeverék-készítő</t>
  </si>
  <si>
    <t>Kádár, bognár</t>
  </si>
  <si>
    <t>Színátalakító (Color converter)</t>
  </si>
  <si>
    <t>Bútorműves, műbútorasztalos</t>
  </si>
  <si>
    <t>Keveréktakarmány-gyártó</t>
  </si>
  <si>
    <t>Csecsemő és gyermek ruházat készítő</t>
  </si>
  <si>
    <t>Ipari üvegműves</t>
  </si>
  <si>
    <t>Földügyi térinformatikus</t>
  </si>
  <si>
    <t>Elektromos halászgép kezelője</t>
  </si>
  <si>
    <t>Távközlési és informatikai hálózatszerelő</t>
  </si>
  <si>
    <t>Infokommunikációs hálózatüzemeltető</t>
  </si>
  <si>
    <t>Műsorközlő és tartalom-átviteli rendszerüzemeltető</t>
  </si>
  <si>
    <t>Junior frontend fejlesztő</t>
  </si>
  <si>
    <t>Junior Java backend fejlesztő</t>
  </si>
  <si>
    <t>Junior rendszerüzemeltető</t>
  </si>
  <si>
    <t>Adatbázis üzemeltető (specialista)</t>
  </si>
  <si>
    <t>06135008</t>
  </si>
  <si>
    <t>Junior automata tesztelő</t>
  </si>
  <si>
    <t>06135009</t>
  </si>
  <si>
    <t>Junior Fullstack API fejlesztő</t>
  </si>
  <si>
    <t>06135010</t>
  </si>
  <si>
    <t>Junior vállalati Java backend fejlesztő</t>
  </si>
  <si>
    <t>06135011</t>
  </si>
  <si>
    <t>10224001</t>
  </si>
  <si>
    <t>10224002</t>
  </si>
  <si>
    <t>Egészségügyi kártevőirtó</t>
  </si>
  <si>
    <t>10213002</t>
  </si>
  <si>
    <t>Koszorúkészítő</t>
  </si>
  <si>
    <t>Távérzékelési képfeldolgozó</t>
  </si>
  <si>
    <t>Méhész</t>
  </si>
  <si>
    <t>Könyvművész, könyvrestaurátor</t>
  </si>
  <si>
    <t>Lakberendező</t>
  </si>
  <si>
    <t>Képző- és iparművészeti munkatárs (Divatstílus és jelmeztervező)</t>
  </si>
  <si>
    <t>Képző- és iparművészeti munkatárs (Mozgóképi animáció tervező)</t>
  </si>
  <si>
    <t>Képző- és iparművészeti munkatárs (Művészeti és médiafotográfus)</t>
  </si>
  <si>
    <t>Képző- és iparművészeti munkatárs (Művészeti grafikus)</t>
  </si>
  <si>
    <t>Könyv- és papírrestaurátor</t>
  </si>
  <si>
    <t>Műtárgyvédelmi munkatárs - Műtárgyvédelmi asszisztens</t>
  </si>
  <si>
    <t>Műtárgyvédelmi munkatárs - Múzeumi gyűjtemény és raktárkezelő</t>
  </si>
  <si>
    <t>Népi kézműves (Csipkekészítő)</t>
  </si>
  <si>
    <t>Népi kézműves (Mézeskalács díszítő)</t>
  </si>
  <si>
    <t>Népi kézműves (Gyékény, szalma és csuhétárgy készítő)</t>
  </si>
  <si>
    <t>Népi kézműves (Nemezkészítő)</t>
  </si>
  <si>
    <t>Népi kézműves (Szíjgyártó-nyerges)</t>
  </si>
  <si>
    <t>Népi kézműves (Fonottbútor készítő)</t>
  </si>
  <si>
    <t>Népi kézműves (Kékfestő)</t>
  </si>
  <si>
    <t>Népi kézműves (Népibőrműves)</t>
  </si>
  <si>
    <t>Népi kézműves (Papucskészítő)</t>
  </si>
  <si>
    <t>Népi kézműves (Szőnyegszövő)</t>
  </si>
  <si>
    <t>Népi kézműves (Takács)</t>
  </si>
  <si>
    <t>02144016</t>
  </si>
  <si>
    <t>02144017</t>
  </si>
  <si>
    <t>Hangszerkészítő és -javító II. (Fafúvós)</t>
  </si>
  <si>
    <t>02144024</t>
  </si>
  <si>
    <t>Hangszerkészítő és -javító II. (Rézfúvós)</t>
  </si>
  <si>
    <t>02144025</t>
  </si>
  <si>
    <t>Hangszerkészítő és -javító II. (Vonós)</t>
  </si>
  <si>
    <t>02144026</t>
  </si>
  <si>
    <t>Hangszerkészítő és -javító II. (Pengetős)</t>
  </si>
  <si>
    <t>02144027</t>
  </si>
  <si>
    <t>Hangszerkészítő és -javító II. (Orgonaépítő)</t>
  </si>
  <si>
    <t>02144029</t>
  </si>
  <si>
    <t>Hangszerkészítő és -javító II. (Zongora)</t>
  </si>
  <si>
    <t>02144030</t>
  </si>
  <si>
    <t>Hangszerkészítő és -javító II. (Cimbalom)</t>
  </si>
  <si>
    <t>02144032</t>
  </si>
  <si>
    <t>Hangszerkészítő és -javító I. (Fafúvós)</t>
  </si>
  <si>
    <t>02145033</t>
  </si>
  <si>
    <t>Hangszerkészítő és -javító I. (Rézfúvós)</t>
  </si>
  <si>
    <t>02145034</t>
  </si>
  <si>
    <t>Hangszerkészítő és -javító I. (Vonós)</t>
  </si>
  <si>
    <t>02145035</t>
  </si>
  <si>
    <t>Hangszerkészítő és -javító I. (Pengetős)</t>
  </si>
  <si>
    <t>02145036</t>
  </si>
  <si>
    <t>Hangszerkészítő és -javító I. (Orgonaépítő)</t>
  </si>
  <si>
    <t>02145038</t>
  </si>
  <si>
    <t>Hangszerkészítő és -javító I. (Zongora)</t>
  </si>
  <si>
    <t>02145039</t>
  </si>
  <si>
    <t>Hangszerkészítő és -javító I. (Cimbalom)</t>
  </si>
  <si>
    <t>02145041</t>
  </si>
  <si>
    <t>02145042</t>
  </si>
  <si>
    <t>02145043</t>
  </si>
  <si>
    <t>Artista II. (Akrobata)</t>
  </si>
  <si>
    <t>Artista II. (Légtornász)</t>
  </si>
  <si>
    <t>Egyházzenész II. (Kántor énekvezető)</t>
  </si>
  <si>
    <t>Egyházzenész II. (Kántor gitáros)</t>
  </si>
  <si>
    <t>Egyházzenész II. (Kántor orgonista)</t>
  </si>
  <si>
    <t>Jazz zenész II. (Húros-vonós)</t>
  </si>
  <si>
    <t>Jazz zenész II. (Jazz énekes)</t>
  </si>
  <si>
    <t>Jazz zenész II. (Ütős)</t>
  </si>
  <si>
    <t>Klasszikus zenész II. (Hangkultúra)</t>
  </si>
  <si>
    <t>Klasszikus zenész II. (Rézfúvós)</t>
  </si>
  <si>
    <t>Klasszikus zenész II. (Ütős)</t>
  </si>
  <si>
    <t>Klasszikus zenész II. (Zeneelmélet-szolfézs)</t>
  </si>
  <si>
    <t>Népzenész II. (Ütős)</t>
  </si>
  <si>
    <t>Szórakoztató zenész II. (Fafúvós)</t>
  </si>
  <si>
    <t>Táncos II. (Színházi táncos)</t>
  </si>
  <si>
    <t>Artista I. (Egyensúlyozó)</t>
  </si>
  <si>
    <t>Artista I. (Társulati artista)</t>
  </si>
  <si>
    <t>Artista I. (Zsonglőr)</t>
  </si>
  <si>
    <t>Egyházzenész I. (Kántor énekvezető)</t>
  </si>
  <si>
    <t>02155018</t>
  </si>
  <si>
    <t>02155019</t>
  </si>
  <si>
    <t>Jazz zenész I. (Húros-vonós)</t>
  </si>
  <si>
    <t>Jazz zenész I. (Ütős)</t>
  </si>
  <si>
    <t>Klasszikus zenész I. (Fafúvós)</t>
  </si>
  <si>
    <t>Klasszikus zenész I. (Hangkultúra)</t>
  </si>
  <si>
    <t>Klasszikus zenész I. (Ütős)</t>
  </si>
  <si>
    <t>Klasszikus zenész I. (Zeneelmélet-szolfézs)</t>
  </si>
  <si>
    <t>Népzenész I. (Húros-vonós)</t>
  </si>
  <si>
    <t>Népzenész I. (Ütős)</t>
  </si>
  <si>
    <t>Színész I. (Bábszínész)</t>
  </si>
  <si>
    <t>Színész I. (Színházi és filmszínész)</t>
  </si>
  <si>
    <t>Oktatás</t>
  </si>
  <si>
    <t>Pedagógiai munkatárs (Gyógypedagógiai asszisztens)</t>
  </si>
  <si>
    <t>Pedagógiai munkatárs (Pedagógiai asszisztens)</t>
  </si>
  <si>
    <t>Dajka</t>
  </si>
  <si>
    <t>Sminkes és szempillaépítő</t>
  </si>
  <si>
    <t>10124003</t>
  </si>
  <si>
    <t>10125001</t>
  </si>
  <si>
    <t>Testtetováló</t>
  </si>
  <si>
    <t>10125002</t>
  </si>
  <si>
    <t>10113003</t>
  </si>
  <si>
    <t>Sportszervező munkatárs</t>
  </si>
  <si>
    <t>10144001</t>
  </si>
  <si>
    <t>Fitness instruktor</t>
  </si>
  <si>
    <t>10144002</t>
  </si>
  <si>
    <t>Csoportos fitness instruktor</t>
  </si>
  <si>
    <t>10144003</t>
  </si>
  <si>
    <t>Sportoktató (vívás sportágban)</t>
  </si>
  <si>
    <t>10144007</t>
  </si>
  <si>
    <t xml:space="preserve">Sportoktató (evezés sportágban) </t>
  </si>
  <si>
    <t>10144009</t>
  </si>
  <si>
    <t xml:space="preserve">Sportoktató (kajak-kenu sportágban) </t>
  </si>
  <si>
    <t>10144011</t>
  </si>
  <si>
    <t>Sportoktató (karate sportágban)</t>
  </si>
  <si>
    <t>10144013</t>
  </si>
  <si>
    <t>Sportoktató (testépítés-fitness sportágban)</t>
  </si>
  <si>
    <t>10144016</t>
  </si>
  <si>
    <t>Sportoktató (úszás sportágban)</t>
  </si>
  <si>
    <t>10144018</t>
  </si>
  <si>
    <t>Sportoktató (snowboard sportágban)</t>
  </si>
  <si>
    <t>10144021</t>
  </si>
  <si>
    <t>Aqua instruktor</t>
  </si>
  <si>
    <t>10144023</t>
  </si>
  <si>
    <t>10145004</t>
  </si>
  <si>
    <t>Sportedző (jégkorong sportágban)</t>
  </si>
  <si>
    <t>10145005</t>
  </si>
  <si>
    <t>Sportedző (vívás sportágban)</t>
  </si>
  <si>
    <t>10145006</t>
  </si>
  <si>
    <t>Sportedző (evezés sportágban)</t>
  </si>
  <si>
    <t>10145008</t>
  </si>
  <si>
    <t>10145010</t>
  </si>
  <si>
    <t>Sportedző (karate sportágban)</t>
  </si>
  <si>
    <t>10145012</t>
  </si>
  <si>
    <t>Sportedző (kung-fu/wushu sportágban)</t>
  </si>
  <si>
    <t>10145014</t>
  </si>
  <si>
    <t>Sportedző (testépítés-fitness sportágban)</t>
  </si>
  <si>
    <t>10145015</t>
  </si>
  <si>
    <t>10145017</t>
  </si>
  <si>
    <t>10145019</t>
  </si>
  <si>
    <t>10145020</t>
  </si>
  <si>
    <t>10145022</t>
  </si>
  <si>
    <t>10133006</t>
  </si>
  <si>
    <t>Falusi turizmus szolgáltató</t>
  </si>
  <si>
    <t>10133007</t>
  </si>
  <si>
    <t>Tisztítás-technológiai szolgáltatásvezető – Housekeeping -Stewarding</t>
  </si>
  <si>
    <t>10134004</t>
  </si>
  <si>
    <t>10135001</t>
  </si>
  <si>
    <t>Élelmezésvezető</t>
  </si>
  <si>
    <t>10135003</t>
  </si>
  <si>
    <t>Szállodahajós, szállodai személyzet</t>
  </si>
  <si>
    <t>10135002</t>
  </si>
  <si>
    <t>Kulturális rendezvény szervezője</t>
  </si>
  <si>
    <t>Családellátó</t>
  </si>
  <si>
    <t>Ipari alpinista</t>
  </si>
  <si>
    <t>10883005</t>
  </si>
  <si>
    <t>10884001</t>
  </si>
  <si>
    <t>Kutyakozmetikus</t>
  </si>
  <si>
    <t>10884004</t>
  </si>
  <si>
    <t>09884001</t>
  </si>
  <si>
    <t>Levéltári asszisztens, ügykezelő, irattáros</t>
  </si>
  <si>
    <t>Segédkönyvtáros</t>
  </si>
  <si>
    <t>03225002</t>
  </si>
  <si>
    <t>IFRS mérlegképes könyvelő</t>
  </si>
  <si>
    <t>Pénzügyi szervezeti mérlegképes könyvelő</t>
  </si>
  <si>
    <t>Jövedéki ügyintéző</t>
  </si>
  <si>
    <t>04115008</t>
  </si>
  <si>
    <t>Termékdíj ügyintéző</t>
  </si>
  <si>
    <t>04115009</t>
  </si>
  <si>
    <t>Barkács áruházi eladó</t>
  </si>
  <si>
    <t>Műszaki eladó</t>
  </si>
  <si>
    <t>Élelmiszer-eladó</t>
  </si>
  <si>
    <t>Vegyi áru eladó</t>
  </si>
  <si>
    <t>Műtárgybecsüs</t>
  </si>
  <si>
    <t>Ingatlanközvetítő</t>
  </si>
  <si>
    <t>Bútor- és szőnyegbecsüs</t>
  </si>
  <si>
    <t>Numizmatikai becsüs</t>
  </si>
  <si>
    <t>Raktárvezető</t>
  </si>
  <si>
    <t>Üzletvezető</t>
  </si>
  <si>
    <t>Biztosításközvetítő (függő és független)</t>
  </si>
  <si>
    <t>Banki, befektetési termékértékesítő</t>
  </si>
  <si>
    <t>Számítógépes adatrögzítő</t>
  </si>
  <si>
    <t>Kisalegység vezető, csoportparancsnok (ABV védelmi altiszt)</t>
  </si>
  <si>
    <t>10315001</t>
  </si>
  <si>
    <t>Kisalegység vezető, csoportparancsnok (Műszaki altiszt)</t>
  </si>
  <si>
    <t>10315002</t>
  </si>
  <si>
    <t>Kisalegység vezető, csoportparancsnok (Lövész altiszt)</t>
  </si>
  <si>
    <t>10315003</t>
  </si>
  <si>
    <t>10315004</t>
  </si>
  <si>
    <t>10315005</t>
  </si>
  <si>
    <t>Kisalegység vezető, csoportparancsnok (Élelmezési ellátó altiszt)</t>
  </si>
  <si>
    <t>10315006</t>
  </si>
  <si>
    <t>10315007</t>
  </si>
  <si>
    <t>Kisalegység vezető, csoportparancsnok (Ruházati ellátó altiszt)</t>
  </si>
  <si>
    <t>10315008</t>
  </si>
  <si>
    <t>10315009</t>
  </si>
  <si>
    <t>10315010</t>
  </si>
  <si>
    <t>Kisalegység vezető, csoportparancsnok (Helikopter fedélzeti altiszt)</t>
  </si>
  <si>
    <t>10315011</t>
  </si>
  <si>
    <t>10315012</t>
  </si>
  <si>
    <t>Kisalegység vezető, csoportparancsnok (Földi Repülésbiztosító Rendszer Üzemeltető altiszt)</t>
  </si>
  <si>
    <t>10315013</t>
  </si>
  <si>
    <t>Kisalegység vezető, csoportparancsnok (Elektronikai hadviselés altiszt)</t>
  </si>
  <si>
    <t>10315014</t>
  </si>
  <si>
    <t>10315015</t>
  </si>
  <si>
    <t>10315016</t>
  </si>
  <si>
    <t>Kisalegység vezető, csoportparancsnok (Közlekedési és szállító altiszt)</t>
  </si>
  <si>
    <t>10315017</t>
  </si>
  <si>
    <t>Kisalegység vezető, csoportparancsnok (Tábori tüzér altiszt)</t>
  </si>
  <si>
    <t>10315018</t>
  </si>
  <si>
    <t>10315019</t>
  </si>
  <si>
    <t>Kisalegység vezető, csoportparancsnok (radarüzemeltető altiszt)</t>
  </si>
  <si>
    <t>10315020</t>
  </si>
  <si>
    <t>10315021</t>
  </si>
  <si>
    <t>Kisalegység vezető, csoportparancsnok (Rejtjelző altiszt)</t>
  </si>
  <si>
    <t>10315022</t>
  </si>
  <si>
    <t>Kisalegység vezető, csoportparancsnok (Katonai rendész, komendáns altiszt)</t>
  </si>
  <si>
    <t>10315023</t>
  </si>
  <si>
    <t>10323008</t>
  </si>
  <si>
    <t>Személy és vagyonőr</t>
  </si>
  <si>
    <t>10323009</t>
  </si>
  <si>
    <t>Kutyavezető vagyonőr</t>
  </si>
  <si>
    <t>10323010</t>
  </si>
  <si>
    <t>Büntetés-végrehajtási felügyelő</t>
  </si>
  <si>
    <t>10323011</t>
  </si>
  <si>
    <t>Gát- és csatornaőr</t>
  </si>
  <si>
    <t>10323024</t>
  </si>
  <si>
    <t>Vízügyi gépész</t>
  </si>
  <si>
    <t>10323025</t>
  </si>
  <si>
    <t>10323027</t>
  </si>
  <si>
    <t>Víz- és csatornamű kezelő</t>
  </si>
  <si>
    <t>10323028</t>
  </si>
  <si>
    <t>10324002</t>
  </si>
  <si>
    <t>Határrendész és útlevélkezelő rendőrjárőr</t>
  </si>
  <si>
    <t>10324003</t>
  </si>
  <si>
    <t>10324005</t>
  </si>
  <si>
    <t>Katasztrófavédelmi munkatárs (polgári védelmi-iparbiztonsági)</t>
  </si>
  <si>
    <t>10324006</t>
  </si>
  <si>
    <t>Katasztrófavédelmi ügyintéző (polgári védelmi-iparbiztonsági)</t>
  </si>
  <si>
    <t>10324007</t>
  </si>
  <si>
    <t>Tűzvédelmi előadó</t>
  </si>
  <si>
    <t>10324017</t>
  </si>
  <si>
    <t>Tűzvédelmi főelőadó</t>
  </si>
  <si>
    <t>10324018</t>
  </si>
  <si>
    <t>Vagyonvédelmi rendszerszerelő</t>
  </si>
  <si>
    <t>10324020</t>
  </si>
  <si>
    <t>10324021</t>
  </si>
  <si>
    <t>Fegyveres biztonsági őr</t>
  </si>
  <si>
    <t>10324022</t>
  </si>
  <si>
    <t>Vízkútfúró</t>
  </si>
  <si>
    <t>10324023</t>
  </si>
  <si>
    <t>10324026</t>
  </si>
  <si>
    <t>10325001</t>
  </si>
  <si>
    <t>Tűzoltó szerparancsnok</t>
  </si>
  <si>
    <t>10325013</t>
  </si>
  <si>
    <t>Büntetés-végrehajtási igazgatási főfelügyelő</t>
  </si>
  <si>
    <t>10325014</t>
  </si>
  <si>
    <t>Büntetés-végrehajtási gazdálkodási főfelügyelő</t>
  </si>
  <si>
    <t>10325015</t>
  </si>
  <si>
    <t>Büntetés-végrehajtási egészségügyi főfelügyelő</t>
  </si>
  <si>
    <t>10325016</t>
  </si>
  <si>
    <t>10325019</t>
  </si>
  <si>
    <t>Katasztrófavédelmi tiszt</t>
  </si>
  <si>
    <t>10326004</t>
  </si>
  <si>
    <t>10326012</t>
  </si>
  <si>
    <t xml:space="preserve"> 132a</t>
  </si>
  <si>
    <t xml:space="preserve"> 141a</t>
  </si>
  <si>
    <t>Szakmajegyzék (177 szakma, szakmairányok nélkül)</t>
  </si>
  <si>
    <t>1. melléklet a 12/2020. (II. 7.) Korm. Rendelethez (2021.IX.1. - )</t>
  </si>
  <si>
    <t>Hibrid és elektromos gépjármű-mechatronikus</t>
  </si>
  <si>
    <t>Oktatási szakasszisztens</t>
  </si>
  <si>
    <t>Papírgyártó és -feldolgozó, csomagolószergyártó</t>
  </si>
  <si>
    <t>Papírgyártó és -feldolgozó, csomagolószergyártó technikus</t>
  </si>
  <si>
    <r>
      <t xml:space="preserve">A támogatás záró elszámolás szerinti egyenlege (Ft)
</t>
    </r>
    <r>
      <rPr>
        <sz val="12"/>
        <color theme="1"/>
        <rFont val="Times New Roman"/>
        <family val="1"/>
        <charset val="238"/>
      </rPr>
      <t>/ amennyiben ez az összeg a záró elszámolás alapján pozitív összeg lesz, az visszafizetési kötelezettséget, 
ha negatív összeg, az kiegészítő támogatást jelent /</t>
    </r>
  </si>
  <si>
    <t>Szakmajegyzék 2021.I.1-</t>
  </si>
  <si>
    <t>4 0722 24 01</t>
  </si>
  <si>
    <t>4 0732 06 01</t>
  </si>
  <si>
    <t>5 0913 03 01</t>
  </si>
  <si>
    <t>5 0716 19 01</t>
  </si>
  <si>
    <t>4 0722 08 01</t>
  </si>
  <si>
    <t>4 0716 19 02</t>
  </si>
  <si>
    <t>5 0714 04 01</t>
  </si>
  <si>
    <t>4 0732 06 02</t>
  </si>
  <si>
    <t>5 0724 01 01</t>
  </si>
  <si>
    <t>4 0724 01 02</t>
  </si>
  <si>
    <t>5 0721 05 01</t>
  </si>
  <si>
    <t>4 0723 16 01</t>
  </si>
  <si>
    <t>4 0732 06 03</t>
  </si>
  <si>
    <t>4 0715 10 01</t>
  </si>
  <si>
    <t>4 1013 23 01</t>
  </si>
  <si>
    <t>5 1013 23 02</t>
  </si>
  <si>
    <t>5 0212 16 07</t>
  </si>
  <si>
    <t>5 0212 16 02</t>
  </si>
  <si>
    <t>4 0723 16 03</t>
  </si>
  <si>
    <t>4 0721 05 02</t>
  </si>
  <si>
    <t>5 0913 03 02</t>
  </si>
  <si>
    <t>5 0914 03 03</t>
  </si>
  <si>
    <t>4 0713 04 02</t>
  </si>
  <si>
    <t>5 0714 04 03</t>
  </si>
  <si>
    <t>5 0721 05 03</t>
  </si>
  <si>
    <t>5 0721 05 04</t>
  </si>
  <si>
    <t>4 0721 05 05</t>
  </si>
  <si>
    <t>4 0715 10 02</t>
  </si>
  <si>
    <t>4 0732 10 03</t>
  </si>
  <si>
    <t>5 0732 07 01</t>
  </si>
  <si>
    <t>4 0732 06 04</t>
  </si>
  <si>
    <t>5 0821 17 02</t>
  </si>
  <si>
    <t>4 0821 17 01</t>
  </si>
  <si>
    <t>5 0721 05 06</t>
  </si>
  <si>
    <t>4 0721 05 07</t>
  </si>
  <si>
    <t>5 0713 04 04</t>
  </si>
  <si>
    <t>5 0722 08 02</t>
  </si>
  <si>
    <t>5 1031 11 01</t>
  </si>
  <si>
    <t>5 1031 11 02</t>
  </si>
  <si>
    <t>5 1031 11 03</t>
  </si>
  <si>
    <t>4 0724 01 03</t>
  </si>
  <si>
    <t>4 0715 19 03</t>
  </si>
  <si>
    <t>4 0732 06 05</t>
  </si>
  <si>
    <t>4 0715 10 04</t>
  </si>
  <si>
    <t>5 1014 20 01</t>
  </si>
  <si>
    <t>4 0724 01 04</t>
  </si>
  <si>
    <t>5 0724 01 05</t>
  </si>
  <si>
    <t>5 1012 21 01</t>
  </si>
  <si>
    <t>5 0911 02 01</t>
  </si>
  <si>
    <t>5 0213 16 08</t>
  </si>
  <si>
    <t>5 0810 17 03</t>
  </si>
  <si>
    <t>4 0811 17 04</t>
  </si>
  <si>
    <t>5 0715 10 05</t>
  </si>
  <si>
    <t>5 0715 10 06</t>
  </si>
  <si>
    <t>4 0715 10 07</t>
  </si>
  <si>
    <t>4 0716 19 05</t>
  </si>
  <si>
    <t>5 0716 19 04</t>
  </si>
  <si>
    <t>5 0213 16 09</t>
  </si>
  <si>
    <t>5 0722 24 02</t>
  </si>
  <si>
    <t>5 0913 03 04</t>
  </si>
  <si>
    <t>4 0715 19 06</t>
  </si>
  <si>
    <t>4 0922 22 01</t>
  </si>
  <si>
    <t>4 0711 24 03</t>
  </si>
  <si>
    <t>5 1041 15 01</t>
  </si>
  <si>
    <t>5 0211 16 13</t>
  </si>
  <si>
    <t>4 0715 10 08</t>
  </si>
  <si>
    <t>4 0721 05 08</t>
  </si>
  <si>
    <t>5 0732 06 06</t>
  </si>
  <si>
    <t>5 1031 11 04</t>
  </si>
  <si>
    <t>5 1031 11 05</t>
  </si>
  <si>
    <t>4 0712 14 01</t>
  </si>
  <si>
    <t>5 0721 05 09</t>
  </si>
  <si>
    <t>4 0732 07 02</t>
  </si>
  <si>
    <t>5 0417 13 01</t>
  </si>
  <si>
    <t>5 0612 12 01</t>
  </si>
  <si>
    <t>5 0612 12 02</t>
  </si>
  <si>
    <t>4 0715 10 09</t>
  </si>
  <si>
    <t>5 0714 04 05</t>
  </si>
  <si>
    <t>5 0715 19 07</t>
  </si>
  <si>
    <t>4 0716 19 08</t>
  </si>
  <si>
    <t>5 0714 19 09</t>
  </si>
  <si>
    <t>4 0716 19 10</t>
  </si>
  <si>
    <t>4 0716 19 11</t>
  </si>
  <si>
    <t>4 0723 08 03</t>
  </si>
  <si>
    <t>4 1041 15 02</t>
  </si>
  <si>
    <t>4 0214 16 04</t>
  </si>
  <si>
    <t>4 0416 13 02</t>
  </si>
  <si>
    <t>5 0416 13 03</t>
  </si>
  <si>
    <t>4 0812 17 05</t>
  </si>
  <si>
    <t>5 0812 17 06</t>
  </si>
  <si>
    <t>5 1012 21 02</t>
  </si>
  <si>
    <t>5 0922 22 02</t>
  </si>
  <si>
    <t>4 0722 15 03</t>
  </si>
  <si>
    <t>4 0721 05 10</t>
  </si>
  <si>
    <t>5 0914 03 05</t>
  </si>
  <si>
    <t>5 0716 15 04</t>
  </si>
  <si>
    <t>5 0715 01 06</t>
  </si>
  <si>
    <t>5 1012 21 03</t>
  </si>
  <si>
    <t>4 0732 06 07</t>
  </si>
  <si>
    <t>4 0732 06 08</t>
  </si>
  <si>
    <t>5 0723 16 05</t>
  </si>
  <si>
    <t>5 0712 14 02</t>
  </si>
  <si>
    <t>5 0714 04 06</t>
  </si>
  <si>
    <t>5 1041 15 05</t>
  </si>
  <si>
    <t>4 0732 07 03</t>
  </si>
  <si>
    <t>5 0413 18 01</t>
  </si>
  <si>
    <t>5 0716 10 10</t>
  </si>
  <si>
    <t>5 0716 10 11</t>
  </si>
  <si>
    <t>5 1041 15 06</t>
  </si>
  <si>
    <t>5 0732 06 09</t>
  </si>
  <si>
    <t>5 0714 19 12</t>
  </si>
  <si>
    <t>4 0714 19 13</t>
  </si>
  <si>
    <t>5 0732 06 10</t>
  </si>
  <si>
    <t>5 0913 03 11</t>
  </si>
  <si>
    <t>4 0810 17 07</t>
  </si>
  <si>
    <t>5 0810 17 08</t>
  </si>
  <si>
    <t>5 0811 17 09</t>
  </si>
  <si>
    <t>5 0211 16 10</t>
  </si>
  <si>
    <t>4 0722 24 04</t>
  </si>
  <si>
    <t>5 0722 24 05</t>
  </si>
  <si>
    <t>5 0211 16 11</t>
  </si>
  <si>
    <t>4 0211 16 12</t>
  </si>
  <si>
    <t>4 0914 02 02</t>
  </si>
  <si>
    <t>5 0914 02 03</t>
  </si>
  <si>
    <t>5 0915 03 06</t>
  </si>
  <si>
    <t>4 0715 01 07</t>
  </si>
  <si>
    <t>4 1013 23 03</t>
  </si>
  <si>
    <t>4 0722 24 06</t>
  </si>
  <si>
    <t>5 0722 24 07</t>
  </si>
  <si>
    <t>4 0721 05 11</t>
  </si>
  <si>
    <t>4 0721 05 12</t>
  </si>
  <si>
    <t>5 0411 09 01</t>
  </si>
  <si>
    <t>5 0910 03 07</t>
  </si>
  <si>
    <t>4 1013 23 04</t>
  </si>
  <si>
    <t>5 1041 15 07</t>
  </si>
  <si>
    <t>5 0914 03 08</t>
  </si>
  <si>
    <t>5 0923 03 09</t>
  </si>
  <si>
    <t>4 1032 18 02</t>
  </si>
  <si>
    <t>5 1032 18 03</t>
  </si>
  <si>
    <t>5 1014 20 02</t>
  </si>
  <si>
    <t>5 0721 05 13</t>
  </si>
  <si>
    <t>4 1013 23 05</t>
  </si>
  <si>
    <t>5 1013 23 06</t>
  </si>
  <si>
    <t>4 0732 06 11</t>
  </si>
  <si>
    <t>4 0732 06 12</t>
  </si>
  <si>
    <t>4 0715 10 12</t>
  </si>
  <si>
    <t>4 0732 06 13</t>
  </si>
  <si>
    <t>5 0413 16 14</t>
  </si>
  <si>
    <t>4 0923 22 03</t>
  </si>
  <si>
    <t>5 0923 22 04</t>
  </si>
  <si>
    <t>5 0923 22 05</t>
  </si>
  <si>
    <t>5 0923 22 06</t>
  </si>
  <si>
    <t>5 0613 12 03</t>
  </si>
  <si>
    <t>4 0721 05 14</t>
  </si>
  <si>
    <t>5 0914 03 10</t>
  </si>
  <si>
    <t>5 0721 05 15</t>
  </si>
  <si>
    <t>4 0721 05 16</t>
  </si>
  <si>
    <t>5 0714 12 04</t>
  </si>
  <si>
    <t>5 0721 05 17</t>
  </si>
  <si>
    <t>4 0721 05 18</t>
  </si>
  <si>
    <t>4 0732 06 14</t>
  </si>
  <si>
    <t>4 0723 16 06</t>
  </si>
  <si>
    <t>5 1015 23 07</t>
  </si>
  <si>
    <t>4 0732 06 15</t>
  </si>
  <si>
    <t>5 0732 06 16</t>
  </si>
  <si>
    <t>5 0411 09 02</t>
  </si>
  <si>
    <t>5 1041 15 08</t>
  </si>
  <si>
    <t>5 0716 10 13</t>
  </si>
  <si>
    <t>5 0711 24 08</t>
  </si>
  <si>
    <t>4 0711 24 09</t>
  </si>
  <si>
    <t>5 1013 23 08</t>
  </si>
  <si>
    <t>4 0713 04 07</t>
  </si>
  <si>
    <t>4 0732 07 04</t>
  </si>
  <si>
    <t>4 1021 14 03</t>
  </si>
  <si>
    <t>5 1021 14 04</t>
  </si>
  <si>
    <t>Szakmajegyzék 2021.09.01-től</t>
  </si>
  <si>
    <t>4 0716 19 14</t>
  </si>
  <si>
    <t>5 0188 25 01</t>
  </si>
  <si>
    <t>Pávics Jánosné</t>
  </si>
  <si>
    <t>dr. Varga Csaba</t>
  </si>
  <si>
    <t>dr. Hafiek Andrea</t>
  </si>
  <si>
    <t>30/183-5879, pavics@bgszc.hu</t>
  </si>
  <si>
    <t>30/626-7622; 1/585-8050; fax: 1/585-8099; dr.hafiek.andrea@bkszc.hu</t>
  </si>
  <si>
    <t>70/514-7220; 25/743- 136; kancellar@dunaujvarosiszc.hu</t>
  </si>
  <si>
    <t>30/465-6118 ; 52/437-311; dszc.kancellaria@dszc.hu; tirpak.zsolt@dszc.hu</t>
  </si>
  <si>
    <t>70/709-4132; kancellar@eszc.eu</t>
  </si>
  <si>
    <t>30/275-7477; 96/203- 371; gede.eszter@gyoriszc.hu</t>
  </si>
  <si>
    <t>70/886-2851; fabri.eufrozina@hmszc.hu</t>
  </si>
  <si>
    <t>70-654-5064; kancellar@karcagiszc.hu</t>
  </si>
  <si>
    <t>30/970 – 2229; 76/482 – 689; leviczky.cirill@kecskemetiszc.hu; kancellar@kecskemetiszc.hu</t>
  </si>
  <si>
    <t>20/423-8347; 44/452-434; rostasjanos@mateszalkaiszc.hu</t>
  </si>
  <si>
    <t>20/265-3889; 93/510-251; bene.csaba@nagykanizsaiszc.hu</t>
  </si>
  <si>
    <t>70/197-6440; 32/310 231; gembiczki.ferenc@nmszc.hu</t>
  </si>
  <si>
    <t>70/198-0052; 42/512-371; pajer@nyiregyhaziszc.hu</t>
  </si>
  <si>
    <t>30/341-4259; 48/471- 796; kancellar@ozdiszc.hu</t>
  </si>
  <si>
    <t>30/929-2948; 84/310-414; lorant.szamosi@siofokiszc.hu</t>
  </si>
  <si>
    <t>Farmasi József</t>
  </si>
  <si>
    <t>Jamrik Gábor helyettesítése Bodó Beáta</t>
  </si>
  <si>
    <t>Birosz Pál Tamás</t>
  </si>
  <si>
    <t>06-70/199-6018, lantos@veszpremszc.hu</t>
  </si>
  <si>
    <t>06-30/483-5501; muller.attila@tmszc.hu</t>
  </si>
  <si>
    <t>06-30/452-5885, zsid.laszlo@ozdiszc.hu</t>
  </si>
  <si>
    <t>06-70/197-6439, baranyi.zoltan@nmszc.hu</t>
  </si>
  <si>
    <t>Anda Zoltán főigazgató</t>
  </si>
  <si>
    <t>06-20/986-1778, 06-45/488-031, kisvardakancellar@gmail.com</t>
  </si>
  <si>
    <t>Moldován György Zsolt, szakmai főigazgató-helyettes</t>
  </si>
  <si>
    <t>06-70/668-8014, bodo.beata@hmszc.hu</t>
  </si>
  <si>
    <t>Bánátfy Andrea főigazgató</t>
  </si>
  <si>
    <t>Szabadi Zoltán szakmai főigazgató-helyettes</t>
  </si>
  <si>
    <t>Vlcskó Pál szakmai főigazgató-helyettes</t>
  </si>
  <si>
    <t>Valterné Pataki Gabriella főigazgató</t>
  </si>
  <si>
    <t>Vas Megyei SZC III. Béla Technikum és Kollégium</t>
  </si>
  <si>
    <t>Győri SZC Glück Frigyes Turisztikai és Vendéglátóipari Technikum és Szakképző Iskola</t>
  </si>
  <si>
    <t>Kisvárdai SZC Csengeri Ady Endre Technikum és Kollégium</t>
  </si>
  <si>
    <t>Siófoki SZC Hikman Béla Szakképző Iskola</t>
  </si>
  <si>
    <t>Budapesti Komplex SZC Újbudai Szakiskola és Szakképző Iskola</t>
  </si>
  <si>
    <t>Tiborczszeghi-Horváth Zoltán</t>
  </si>
  <si>
    <t>Rubi Zsoltné</t>
  </si>
  <si>
    <t>Bodnár Attila Sándor</t>
  </si>
  <si>
    <t>2800 Tatabánya, Dózsa György út 58.</t>
  </si>
  <si>
    <t>Budapesti Komplex SZC Kozma Lajos Faipari és Kreatív Technikum</t>
  </si>
  <si>
    <t>40 óra</t>
  </si>
  <si>
    <t>60 óra</t>
  </si>
  <si>
    <t>300 óra</t>
  </si>
  <si>
    <t>400 óra</t>
  </si>
  <si>
    <t>100 óra</t>
  </si>
  <si>
    <t>120 óra</t>
  </si>
  <si>
    <t>380 óra</t>
  </si>
  <si>
    <t>350 óra</t>
  </si>
  <si>
    <t>360 óra</t>
  </si>
  <si>
    <t>Egészségügyi ágazat</t>
  </si>
  <si>
    <t>600 óra</t>
  </si>
  <si>
    <t>660 óra</t>
  </si>
  <si>
    <t>500 óra</t>
  </si>
  <si>
    <t>720 óra</t>
  </si>
  <si>
    <t>180 óra</t>
  </si>
  <si>
    <t>340 óra</t>
  </si>
  <si>
    <t>440 óra</t>
  </si>
  <si>
    <t>Kisalföldi ASzC Roth Gyula Erdészeti Technikum, Szakképző Iskola és Kollégium</t>
  </si>
  <si>
    <t>Déli ASZC  Jánoshalmi Mezőgazdasági Technikum, Szakképző Iskola és Kollégium</t>
  </si>
  <si>
    <t>0841</t>
  </si>
  <si>
    <t>5</t>
  </si>
  <si>
    <t>001</t>
  </si>
  <si>
    <t>0719</t>
  </si>
  <si>
    <t>3</t>
  </si>
  <si>
    <t>4</t>
  </si>
  <si>
    <t>011</t>
  </si>
  <si>
    <t>010</t>
  </si>
  <si>
    <t>004</t>
  </si>
  <si>
    <t>Elektronikai gyártósori műszerész</t>
  </si>
  <si>
    <t>002</t>
  </si>
  <si>
    <t>Erőművi blokkgépész</t>
  </si>
  <si>
    <t>019</t>
  </si>
  <si>
    <t>018</t>
  </si>
  <si>
    <t>Erőművi gőzturbina gépész</t>
  </si>
  <si>
    <t>017</t>
  </si>
  <si>
    <t>021</t>
  </si>
  <si>
    <t>012</t>
  </si>
  <si>
    <t>016</t>
  </si>
  <si>
    <t>014</t>
  </si>
  <si>
    <t>Gázipari műszaki-biztonsági felülvizsgáló</t>
  </si>
  <si>
    <t>029</t>
  </si>
  <si>
    <t>Gázturbina gépész</t>
  </si>
  <si>
    <t>015</t>
  </si>
  <si>
    <t>Gépi kovács</t>
  </si>
  <si>
    <t>Gumiabroncs-javító és kerékkiegyensúlyozó</t>
  </si>
  <si>
    <t>009</t>
  </si>
  <si>
    <t>003</t>
  </si>
  <si>
    <t>Háztartási gép szerviz-szaktechnikus</t>
  </si>
  <si>
    <t>013</t>
  </si>
  <si>
    <t>007</t>
  </si>
  <si>
    <t>Ipari olaj- és gáztüzelő-berendezés kezelő</t>
  </si>
  <si>
    <t>Kazángépész (12 t/h felett)</t>
  </si>
  <si>
    <t>020</t>
  </si>
  <si>
    <t>Kazánkezelő (max. 12 t/h)</t>
  </si>
  <si>
    <t>022</t>
  </si>
  <si>
    <t>008</t>
  </si>
  <si>
    <t>Kereskedelmi, háztartási és vendéglátóipari gépszerelő</t>
  </si>
  <si>
    <t>023</t>
  </si>
  <si>
    <t>Kisfeszültségű csatlakozó- és közvilágítási FAM szerelő</t>
  </si>
  <si>
    <t>028</t>
  </si>
  <si>
    <t>Kisfeszültségű szabadvezeték hálózati FAM szerelő</t>
  </si>
  <si>
    <t>027</t>
  </si>
  <si>
    <t>Kisfeszültségű szakszolgálati FAM szerelő</t>
  </si>
  <si>
    <t>026</t>
  </si>
  <si>
    <t>025</t>
  </si>
  <si>
    <t>024</t>
  </si>
  <si>
    <t>Középfeszültségű kábelszerelő</t>
  </si>
  <si>
    <t>006</t>
  </si>
  <si>
    <t>Megújuló és egyéb primer energiaforrású kiserőmű erősáramú létesítője</t>
  </si>
  <si>
    <t>Órás</t>
  </si>
  <si>
    <t>005</t>
  </si>
  <si>
    <t>Villamos alállomás kezelő</t>
  </si>
  <si>
    <t>030</t>
  </si>
  <si>
    <t>Villamos elosztóhálózat szerelő, üzemeltető</t>
  </si>
  <si>
    <t>Villamos hálózat kezelő</t>
  </si>
  <si>
    <t>Villámvédelmi felülvizsgáló</t>
  </si>
  <si>
    <t>Boncmester</t>
  </si>
  <si>
    <t>Digitális fogtechnika</t>
  </si>
  <si>
    <t>Egészségfejlesztési segítő</t>
  </si>
  <si>
    <t>Fertőtlenítő-sterilező</t>
  </si>
  <si>
    <t>Fülilleszték készítő</t>
  </si>
  <si>
    <t>Gyermek intenzív szakápoló</t>
  </si>
  <si>
    <t>Gyógyszertári szakasszisztens</t>
  </si>
  <si>
    <t>0916</t>
  </si>
  <si>
    <t>Műtőssegéd-gipszmester</t>
  </si>
  <si>
    <t>Orthodontia</t>
  </si>
  <si>
    <t>Díszmű- és műemléki bádogos</t>
  </si>
  <si>
    <t>Műemlékfenntartó szaktechnikus</t>
  </si>
  <si>
    <t>Térképész</t>
  </si>
  <si>
    <t>0731</t>
  </si>
  <si>
    <t>Fakitermelő</t>
  </si>
  <si>
    <t>Gallyazó-daraboló</t>
  </si>
  <si>
    <t>2</t>
  </si>
  <si>
    <t>Cipőfelsőrész-készítő</t>
  </si>
  <si>
    <t>Digitális montírozó és nyomóforma készítő</t>
  </si>
  <si>
    <t>Faipari gépkezelő</t>
  </si>
  <si>
    <t>Ipari gumitermék-előállító</t>
  </si>
  <si>
    <t>Kalandergép-kezelő</t>
  </si>
  <si>
    <t>0729</t>
  </si>
  <si>
    <t>Kötöttáru-összeállító</t>
  </si>
  <si>
    <t>Mélyfúró</t>
  </si>
  <si>
    <t>Munkaruha- és védőruha készítő</t>
  </si>
  <si>
    <t>Nyomdai formakészítő</t>
  </si>
  <si>
    <t>Szűcs</t>
  </si>
  <si>
    <t>Textiltisztító és textilszínező</t>
  </si>
  <si>
    <t>Vulkanizálógép kezelő</t>
  </si>
  <si>
    <t>0531</t>
  </si>
  <si>
    <t>0532</t>
  </si>
  <si>
    <t>Üveggyártó</t>
  </si>
  <si>
    <t>0831</t>
  </si>
  <si>
    <t>Gerinchálózati rendszerüzemeltető</t>
  </si>
  <si>
    <t>0619</t>
  </si>
  <si>
    <t>Infokommunikációs hozzáférési hálózatüzemeltető</t>
  </si>
  <si>
    <t>Informatikai támogató munkatárs</t>
  </si>
  <si>
    <t>Junior szoftvertesztelő</t>
  </si>
  <si>
    <t>1021</t>
  </si>
  <si>
    <t>Emelőgép-ügyintéző</t>
  </si>
  <si>
    <t>1022</t>
  </si>
  <si>
    <t>Munkavédelmi előadó</t>
  </si>
  <si>
    <t>0819</t>
  </si>
  <si>
    <t>Lóápoló és gondozó</t>
  </si>
  <si>
    <t>Kályhás</t>
  </si>
  <si>
    <t>0799</t>
  </si>
  <si>
    <t>Nyomástartóedény-gépész</t>
  </si>
  <si>
    <t>Robbanásbiztos berendezés szerelője</t>
  </si>
  <si>
    <t>Felvonó- és mozgólépcső ellenőr</t>
  </si>
  <si>
    <t>0700</t>
  </si>
  <si>
    <t>Felvonószerelő</t>
  </si>
  <si>
    <t>Artista I. (Akrobata)</t>
  </si>
  <si>
    <t>0215</t>
  </si>
  <si>
    <t>Artista I. (Bohóc)</t>
  </si>
  <si>
    <t>Artista I. (Légtornász)</t>
  </si>
  <si>
    <t>Artista II. (Bohóc)</t>
  </si>
  <si>
    <t>Artista II. (Egyensúlyozó)</t>
  </si>
  <si>
    <t>Artista II. (Társulati artista)</t>
  </si>
  <si>
    <t>Artista II. (Zsonglőr)</t>
  </si>
  <si>
    <t>042</t>
  </si>
  <si>
    <t>043</t>
  </si>
  <si>
    <t>Egyházzenész I. (Kántor gitáros)</t>
  </si>
  <si>
    <t>Egyházzenész I. (Kántor kórusvezető)</t>
  </si>
  <si>
    <t>Egyházzenész I. (Kántor orgonista)</t>
  </si>
  <si>
    <t>Egyházzenész II. (Kántor kórusvezető)</t>
  </si>
  <si>
    <t>Folyamatszabályozó gépmester</t>
  </si>
  <si>
    <t>041</t>
  </si>
  <si>
    <t>033</t>
  </si>
  <si>
    <t>038</t>
  </si>
  <si>
    <t>036</t>
  </si>
  <si>
    <t>034</t>
  </si>
  <si>
    <t>035</t>
  </si>
  <si>
    <t>039</t>
  </si>
  <si>
    <t>032</t>
  </si>
  <si>
    <t>Jazz zenész I. (Billentyűs)</t>
  </si>
  <si>
    <t>Jazz zenész I. (Fafúvós)</t>
  </si>
  <si>
    <t>Jazz zenész I. (Jazz énekes)</t>
  </si>
  <si>
    <t>Jazz zenész I. (Rézfúvós)</t>
  </si>
  <si>
    <t>031</t>
  </si>
  <si>
    <t>Jazz zenész II. (Billentyűs)</t>
  </si>
  <si>
    <t>Jazz zenész II. (Fafúvós)</t>
  </si>
  <si>
    <t>Jazz zenész II. (Rézfúvós)</t>
  </si>
  <si>
    <t>Kaszkadőr (autós kaszkadőr)</t>
  </si>
  <si>
    <t>087</t>
  </si>
  <si>
    <t>Kaszkadőr (gyalogos kaszkadőr)</t>
  </si>
  <si>
    <t>085</t>
  </si>
  <si>
    <t>Kaszkadőr (lovas kaszkadőr)</t>
  </si>
  <si>
    <t>088</t>
  </si>
  <si>
    <t>Kaszkadőr (motoros kaszkadőr)</t>
  </si>
  <si>
    <t>086</t>
  </si>
  <si>
    <t>Kaszkadőrszakértő</t>
  </si>
  <si>
    <t>089</t>
  </si>
  <si>
    <t>Képző- és iparművészeti munkatárs (Festő)</t>
  </si>
  <si>
    <t>Képző- és iparművészeti munkatárs (Kerámiaműves)</t>
  </si>
  <si>
    <t>Képző- és iparművészeti munkatárs (Ötvös)</t>
  </si>
  <si>
    <t>Képző- és iparművészeti munkatárs (Szobrász)</t>
  </si>
  <si>
    <t>Képző- és iparművészeti munkatárs (Textilműves)</t>
  </si>
  <si>
    <t>Képző- és iparművészeti munkatárs (Üvegműves)</t>
  </si>
  <si>
    <t>Klasszikus zenész I. (Billentyűs)</t>
  </si>
  <si>
    <t>044</t>
  </si>
  <si>
    <t>Klasszikus zenész I. (Húros-vonós)</t>
  </si>
  <si>
    <t>045</t>
  </si>
  <si>
    <t>Klasszikus zenész I. (Magánénekes)</t>
  </si>
  <si>
    <t>046</t>
  </si>
  <si>
    <t>Klasszikus zenész I. (Rézfúvós)</t>
  </si>
  <si>
    <t>047</t>
  </si>
  <si>
    <t>048</t>
  </si>
  <si>
    <t>049</t>
  </si>
  <si>
    <t>Klasszikus zenész I. (Zeneszerzés)</t>
  </si>
  <si>
    <t>050</t>
  </si>
  <si>
    <t>Klasszikus zenész II. (Billentyűs)</t>
  </si>
  <si>
    <t>Klasszikus zenész II. (Fafúvós)</t>
  </si>
  <si>
    <t>Klasszikus zenész II. (Húros-vonós)</t>
  </si>
  <si>
    <t>Klasszikus zenész II. (Magánénekes)</t>
  </si>
  <si>
    <t>037</t>
  </si>
  <si>
    <t>040</t>
  </si>
  <si>
    <t>Klasszikus zenész II. (Zeneszerzés)</t>
  </si>
  <si>
    <t>Népi játék és kismesterségek oktatója</t>
  </si>
  <si>
    <t>Népi kézműves (Faműves-fajátékkészítő)</t>
  </si>
  <si>
    <t>Népi kézműves (Fazekas)</t>
  </si>
  <si>
    <t>Népi kézműves (Kézi és gépi hímző)</t>
  </si>
  <si>
    <t>Népi kézműves (Kosárfonó)</t>
  </si>
  <si>
    <t>Népzenész I. (Billentyűs)</t>
  </si>
  <si>
    <t>056</t>
  </si>
  <si>
    <t>Népzenész I. (Fafúvós)</t>
  </si>
  <si>
    <t>057</t>
  </si>
  <si>
    <t>058</t>
  </si>
  <si>
    <t>Népzenész I. (Népi énekes)</t>
  </si>
  <si>
    <t>059</t>
  </si>
  <si>
    <t>060</t>
  </si>
  <si>
    <t>Népzenész II. (Billentyűs)</t>
  </si>
  <si>
    <t>051</t>
  </si>
  <si>
    <t>Népzenész II. (Fafúvós)</t>
  </si>
  <si>
    <t>052</t>
  </si>
  <si>
    <t>Népzenész II. (Húros-vonós)</t>
  </si>
  <si>
    <t>053</t>
  </si>
  <si>
    <t>Népzenész II. (Népi énekes)</t>
  </si>
  <si>
    <t>054</t>
  </si>
  <si>
    <t>055</t>
  </si>
  <si>
    <t>063</t>
  </si>
  <si>
    <t>064</t>
  </si>
  <si>
    <t>Színész II. (Bábszínész)</t>
  </si>
  <si>
    <t>061</t>
  </si>
  <si>
    <t>Színész II. (Színházi és filmszínész)</t>
  </si>
  <si>
    <t>062</t>
  </si>
  <si>
    <t>Szórakoztató zenész I. (Billentyűs)</t>
  </si>
  <si>
    <t>072</t>
  </si>
  <si>
    <t>Szórakoztató zenész I. (Énekes szólista)</t>
  </si>
  <si>
    <t>073</t>
  </si>
  <si>
    <t>Szórakoztató zenész I. (Fafúvós)</t>
  </si>
  <si>
    <t>074</t>
  </si>
  <si>
    <t>Szórakoztató zenész I. (Húros-vonós)</t>
  </si>
  <si>
    <t>075</t>
  </si>
  <si>
    <t>Szórakoztató zenész I. (Rézfúvós)</t>
  </si>
  <si>
    <t>076</t>
  </si>
  <si>
    <t>Szórakoztató zenész I. (Ütős)</t>
  </si>
  <si>
    <t>071</t>
  </si>
  <si>
    <t>Szórakoztató zenész II. (Billentyűs)</t>
  </si>
  <si>
    <t>066</t>
  </si>
  <si>
    <t>Szórakoztató zenész II. (Énekes szólista)</t>
  </si>
  <si>
    <t>067</t>
  </si>
  <si>
    <t>068</t>
  </si>
  <si>
    <t>Szórakoztató zenész II. (Húros-vonós)</t>
  </si>
  <si>
    <t>069</t>
  </si>
  <si>
    <t>Szórakoztató zenész II. (Rézfúvós)</t>
  </si>
  <si>
    <t>070</t>
  </si>
  <si>
    <t>Szórakoztató zenész II. (Ütős)</t>
  </si>
  <si>
    <t>065</t>
  </si>
  <si>
    <t>Táncos I. (Klasszikus balett táncos)</t>
  </si>
  <si>
    <t>081</t>
  </si>
  <si>
    <t>Táncos I. (Kortárs modern táncos)</t>
  </si>
  <si>
    <t>082</t>
  </si>
  <si>
    <t>Táncos I. (Néptáncos)</t>
  </si>
  <si>
    <t>083</t>
  </si>
  <si>
    <t>Táncos I. (Színházi táncos)</t>
  </si>
  <si>
    <t>084</t>
  </si>
  <si>
    <t>Táncos II. (Klasszikus balett táncos)</t>
  </si>
  <si>
    <t>077</t>
  </si>
  <si>
    <t>Táncos II. (Kortárs modern táncos)</t>
  </si>
  <si>
    <t>078</t>
  </si>
  <si>
    <t>na.</t>
  </si>
  <si>
    <t>Táncos II. (Néptáncos)</t>
  </si>
  <si>
    <t>079</t>
  </si>
  <si>
    <t>080</t>
  </si>
  <si>
    <t>Üvegcsiszoló</t>
  </si>
  <si>
    <t>01193003</t>
  </si>
  <si>
    <t>0119</t>
  </si>
  <si>
    <t>1014</t>
  </si>
  <si>
    <t>1013</t>
  </si>
  <si>
    <t>Falusi vendéglátó</t>
  </si>
  <si>
    <t>1012</t>
  </si>
  <si>
    <t>Sportedző (fallabda sportágban)</t>
  </si>
  <si>
    <t>Sportedző (kajak-kenu sportágban)</t>
  </si>
  <si>
    <t>Sportedző (snowboard sportágban)</t>
  </si>
  <si>
    <t>Sportedző (úszás sportágban)</t>
  </si>
  <si>
    <t>Sportedző (vízilabda sportágban)</t>
  </si>
  <si>
    <t>Szállodai recepciós</t>
  </si>
  <si>
    <t>Személyi edző</t>
  </si>
  <si>
    <t>Tisztítás-technológiai szakmunkás</t>
  </si>
  <si>
    <t>1011</t>
  </si>
  <si>
    <t>0921</t>
  </si>
  <si>
    <t>0314</t>
  </si>
  <si>
    <t>0888</t>
  </si>
  <si>
    <t>Ingatlankezelő</t>
  </si>
  <si>
    <t>1088</t>
  </si>
  <si>
    <t>Egészségügyi gázmester</t>
  </si>
  <si>
    <t>0988</t>
  </si>
  <si>
    <t>Ingatlanvagyon-értékelő</t>
  </si>
  <si>
    <t>0488</t>
  </si>
  <si>
    <t>0322</t>
  </si>
  <si>
    <t>Adótanácsadó</t>
  </si>
  <si>
    <t>0412</t>
  </si>
  <si>
    <t>Becsüs</t>
  </si>
  <si>
    <t>Bútorbolti eladó</t>
  </si>
  <si>
    <t>Ékszerbecsüs</t>
  </si>
  <si>
    <t>Festménybecsüs</t>
  </si>
  <si>
    <t>Játékbolti eladó</t>
  </si>
  <si>
    <t>Közművelődési munkatárs</t>
  </si>
  <si>
    <t>Munkaerő-gazdálkodási és társadalombiztosítási ügyintéző</t>
  </si>
  <si>
    <t>Okleveles adószakértő</t>
  </si>
  <si>
    <t>6</t>
  </si>
  <si>
    <t>Pénztárkezelő és valutapénztáros</t>
  </si>
  <si>
    <t>Ruházati eladó</t>
  </si>
  <si>
    <t>0415</t>
  </si>
  <si>
    <t>Társasházkezelő</t>
  </si>
  <si>
    <t>Töltőállomás-kezelő</t>
  </si>
  <si>
    <t>Vámügyintéző</t>
  </si>
  <si>
    <t>1032</t>
  </si>
  <si>
    <t>Büntetés-végrehajtási főfelügyelő</t>
  </si>
  <si>
    <t>Büntetés-végrehajtási szervező</t>
  </si>
  <si>
    <t>Kéményseprő</t>
  </si>
  <si>
    <t>1031</t>
  </si>
  <si>
    <t>Kisalegység vezető, csoportparancsnok (Alap Altiszti Tanfolyam)</t>
  </si>
  <si>
    <t>Kisalegység vezető, csoportparancsnok (Ejtőernyős altiszt)</t>
  </si>
  <si>
    <t>Kisalegység vezető, csoportparancsnok (Felderítő altiszt)</t>
  </si>
  <si>
    <t>Kisalegység vezető, csoportparancsnok (Harckocsizó altiszt)</t>
  </si>
  <si>
    <t>Kisalegység vezető, csoportparancsnok (Infokommunikációs altiszt)</t>
  </si>
  <si>
    <t>Kisalegység vezető, csoportparancsnok (Informatikai altiszt)</t>
  </si>
  <si>
    <t>Kisalegység vezető, csoportparancsnok (Képi felderítő altiszt)</t>
  </si>
  <si>
    <t>Kisalegység vezető, csoportparancsnok (Légvédelmi rakéta altiszt)</t>
  </si>
  <si>
    <t>Kisalegység vezető, csoportparancsnok (Légivezetés altiszt)</t>
  </si>
  <si>
    <t>Kisalegység vezető, csoportparancsnok (Üzemanyag-ellátó altiszt)</t>
  </si>
  <si>
    <t>Közbiztonsági rendőrjárőr</t>
  </si>
  <si>
    <t>Közterület-felügyelő</t>
  </si>
  <si>
    <t>Magánnyomozó</t>
  </si>
  <si>
    <t>Önkormányzati természetvédelmi őr</t>
  </si>
  <si>
    <t>Temetkezési szolgáltató</t>
  </si>
  <si>
    <t>Tűzoltó</t>
  </si>
  <si>
    <t xml:space="preserve"> 6800 Hódmezővásárhely, Andrássy út 3/8.</t>
  </si>
  <si>
    <t>Szakképesítések 21.01.08. PK-k</t>
  </si>
  <si>
    <t>Szakmai_képzés_kezdete</t>
  </si>
  <si>
    <t>_2020_09_2021_08_hó_között</t>
  </si>
  <si>
    <t>Szakképesítések 21.08.02. PK-k</t>
  </si>
  <si>
    <t>oktatás ágazathoz jelenleg nincs szakmaszorzó</t>
  </si>
  <si>
    <t>2021. évre összesen elszámolt támogatási  összeg (ezer forintra kerekítve)
(Ft)</t>
  </si>
  <si>
    <t>A 2021. évi záró támogatási időszak támogatási előleg összege a kérelem alapján (ezer forintra kerekítve)
(Ft)</t>
  </si>
  <si>
    <t>A 2021. évi záró támogatási időszakban képzésben ténylegesen részt vevő személyek száma az elszámolás alapján
(fő)</t>
  </si>
  <si>
    <t>Képzésben részt vevő személyek száma (felnőttképzési szerződéssel rendelkező és tervezett) a kérelem alapján
(fő)</t>
  </si>
  <si>
    <t>_2021_09_2021_12_hó_között</t>
  </si>
  <si>
    <t>Tanulók létszáma 
(fő)</t>
  </si>
  <si>
    <t>Drog- és toxikológiai szaktechnikus</t>
  </si>
  <si>
    <t>Drogerista</t>
  </si>
  <si>
    <t>Élemiszer-eladó</t>
  </si>
  <si>
    <t>Erőművi kazángépész</t>
  </si>
  <si>
    <t>Extrudergép-kezelő</t>
  </si>
  <si>
    <t>Ingatlanvagyon-értékelő és -közvetítő</t>
  </si>
  <si>
    <t>Kisalegység vezető, csoportparancsnok (Légédelmi rakéta altiszt)</t>
  </si>
  <si>
    <t>Növényolajgyártó(2021.01.08.)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</si>
</sst>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* #,##0.00\ &quot;Ft&quot;_-;\-* #,##0.00\ &quot;Ft&quot;_-;_-* &quot;-&quot;??\ &quot;Ft&quot;_-;_-@_-"/>
    <numFmt numFmtId="164" formatCode="_-* #,##0.00\ _F_t_-;\-* #,##0.00\ _F_t_-;_-* &quot;-&quot;??\ _F_t_-;_-@_-"/>
    <numFmt numFmtId="165" formatCode="#,##0_ ;[Red]\-#,##0\ "/>
    <numFmt numFmtId="166" formatCode="00#"/>
    <numFmt numFmtId="167" formatCode="0###"/>
    <numFmt numFmtId="168" formatCode="#"/>
  </numFmts>
  <fonts count="8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sz val="11"/>
      <color indexed="8"/>
      <name val="Calibri"/>
      <family val="2"/>
    </font>
    <font>
      <sz val="11"/>
      <color rgb="FF9C0006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1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u/>
      <sz val="11"/>
      <color indexed="12"/>
      <name val="Calibri"/>
      <family val="2"/>
      <charset val="238"/>
    </font>
    <font>
      <u/>
      <sz val="11"/>
      <color rgb="FF0000FF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6"/>
      <color rgb="FF00B050"/>
      <name val="Calibri"/>
      <family val="2"/>
      <charset val="238"/>
      <scheme val="minor"/>
    </font>
    <font>
      <b/>
      <sz val="16"/>
      <color theme="9" tint="-0.249977111117893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9C0006"/>
      <name val="Times New Roman"/>
      <family val="2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1"/>
      <color indexed="8"/>
      <name val="Calibri"/>
      <family val="2"/>
      <charset val="238"/>
    </font>
    <font>
      <sz val="11"/>
      <color theme="1"/>
      <name val="Times New Roman"/>
      <family val="1"/>
      <charset val="238"/>
    </font>
    <font>
      <sz val="10"/>
      <color theme="1"/>
      <name val="Arial"/>
      <family val="2"/>
    </font>
    <font>
      <i/>
      <sz val="12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color rgb="FF000000"/>
      <name val="Arial"/>
      <family val="2"/>
      <charset val="238"/>
    </font>
    <font>
      <sz val="11"/>
      <color theme="1"/>
      <name val="Calibri"/>
      <family val="2"/>
    </font>
    <font>
      <sz val="11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u/>
      <sz val="10"/>
      <color theme="1"/>
      <name val="Calibri"/>
      <family val="2"/>
      <charset val="238"/>
      <scheme val="minor"/>
    </font>
    <font>
      <b/>
      <u/>
      <sz val="10"/>
      <color rgb="FFFF0000"/>
      <name val="Calibri"/>
      <family val="2"/>
      <charset val="238"/>
      <scheme val="minor"/>
    </font>
    <font>
      <sz val="11"/>
      <color rgb="FFFF000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sz val="11"/>
      <color indexed="8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i/>
      <sz val="12"/>
      <color theme="1"/>
      <name val="Times New Roman"/>
      <family val="1"/>
      <charset val="238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u/>
      <sz val="10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i/>
      <sz val="14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0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u/>
      <sz val="11"/>
      <color theme="10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sz val="11"/>
      <color rgb="FF00B050"/>
      <name val="Calibri"/>
      <family val="2"/>
      <scheme val="minor"/>
    </font>
    <font>
      <b/>
      <sz val="9"/>
      <color indexed="81"/>
      <name val="Tahoma"/>
      <family val="2"/>
      <charset val="238"/>
    </font>
    <font>
      <sz val="11"/>
      <color theme="0"/>
      <name val="Calibri"/>
      <family val="2"/>
      <scheme val="minor"/>
    </font>
    <font>
      <b/>
      <sz val="10"/>
      <color theme="0"/>
      <name val="Calibri"/>
      <family val="2"/>
      <charset val="238"/>
      <scheme val="minor"/>
    </font>
    <font>
      <b/>
      <sz val="11"/>
      <color rgb="FFFF0000"/>
      <name val="Times New Roman"/>
      <family val="1"/>
      <charset val="238"/>
    </font>
    <font>
      <sz val="11"/>
      <color theme="1"/>
      <name val="Franklin Gothic Book"/>
      <family val="2"/>
      <charset val="238"/>
    </font>
    <font>
      <sz val="11"/>
      <name val="Calibri"/>
      <family val="2"/>
      <scheme val="minor"/>
    </font>
    <font>
      <sz val="10"/>
      <name val="Times New Roman"/>
      <family val="1"/>
      <charset val="238"/>
    </font>
  </fonts>
  <fills count="1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C7CE"/>
        <bgColor rgb="FFFCD5B5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/>
        <bgColor theme="8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lightTrellis">
        <bgColor theme="0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theme="8"/>
      </right>
      <top style="thin">
        <color theme="8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732">
    <xf numFmtId="0" fontId="0" fillId="0" borderId="0"/>
    <xf numFmtId="0" fontId="21" fillId="4" borderId="1" applyNumberFormat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23" fillId="5" borderId="0" applyBorder="0" applyProtection="0"/>
    <xf numFmtId="0" fontId="24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25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26" fillId="2" borderId="0" applyNumberFormat="0" applyBorder="0" applyAlignment="0" applyProtection="0"/>
    <xf numFmtId="0" fontId="27" fillId="3" borderId="0" applyNumberFormat="0" applyBorder="0" applyAlignment="0" applyProtection="0"/>
    <xf numFmtId="0" fontId="32" fillId="0" borderId="0"/>
    <xf numFmtId="0" fontId="33" fillId="0" borderId="0"/>
    <xf numFmtId="0" fontId="34" fillId="0" borderId="0"/>
    <xf numFmtId="0" fontId="35" fillId="0" borderId="0" applyBorder="0" applyProtection="0"/>
    <xf numFmtId="0" fontId="20" fillId="0" borderId="0"/>
    <xf numFmtId="0" fontId="36" fillId="0" borderId="0" applyNumberFormat="0" applyFill="0" applyBorder="0" applyAlignment="0" applyProtection="0"/>
    <xf numFmtId="0" fontId="24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0" borderId="0"/>
    <xf numFmtId="0" fontId="40" fillId="5" borderId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3" fillId="0" borderId="0"/>
    <xf numFmtId="0" fontId="3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4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4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3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24" fillId="0" borderId="0"/>
    <xf numFmtId="0" fontId="4" fillId="0" borderId="0"/>
    <xf numFmtId="0" fontId="3" fillId="0" borderId="0"/>
    <xf numFmtId="0" fontId="1" fillId="0" borderId="0"/>
  </cellStyleXfs>
  <cellXfs count="34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/>
    <xf numFmtId="0" fontId="0" fillId="0" borderId="0" xfId="0"/>
    <xf numFmtId="0" fontId="0" fillId="0" borderId="0" xfId="0" applyBorder="1"/>
    <xf numFmtId="0" fontId="0" fillId="0" borderId="12" xfId="0" applyBorder="1" applyAlignment="1">
      <alignment horizontal="center" vertical="center" wrapText="1"/>
    </xf>
    <xf numFmtId="0" fontId="0" fillId="0" borderId="12" xfId="0" applyBorder="1"/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9" xfId="0" applyFont="1" applyBorder="1"/>
    <xf numFmtId="49" fontId="0" fillId="9" borderId="12" xfId="0" applyNumberFormat="1" applyFill="1" applyBorder="1"/>
    <xf numFmtId="0" fontId="0" fillId="0" borderId="3" xfId="0" applyFont="1" applyBorder="1"/>
    <xf numFmtId="0" fontId="0" fillId="0" borderId="0" xfId="0" applyFill="1" applyAlignment="1">
      <alignment horizontal="center" vertical="center" wrapText="1"/>
    </xf>
    <xf numFmtId="0" fontId="44" fillId="0" borderId="0" xfId="0" applyFont="1"/>
    <xf numFmtId="0" fontId="44" fillId="0" borderId="0" xfId="0" applyFont="1" applyAlignment="1">
      <alignment vertical="center"/>
    </xf>
    <xf numFmtId="0" fontId="44" fillId="0" borderId="0" xfId="0" applyFont="1" applyAlignment="1">
      <alignment wrapText="1"/>
    </xf>
    <xf numFmtId="0" fontId="0" fillId="6" borderId="6" xfId="0" applyFill="1" applyBorder="1" applyProtection="1"/>
    <xf numFmtId="0" fontId="0" fillId="6" borderId="7" xfId="0" applyFill="1" applyBorder="1" applyProtection="1"/>
    <xf numFmtId="0" fontId="0" fillId="6" borderId="9" xfId="0" applyFill="1" applyBorder="1" applyProtection="1"/>
    <xf numFmtId="0" fontId="50" fillId="0" borderId="12" xfId="0" applyFont="1" applyFill="1" applyBorder="1" applyAlignment="1">
      <alignment horizontal="center" vertical="center" wrapText="1"/>
    </xf>
    <xf numFmtId="0" fontId="47" fillId="9" borderId="12" xfId="220" applyFont="1" applyFill="1" applyBorder="1" applyAlignment="1">
      <alignment horizontal="left" vertical="center" wrapText="1"/>
    </xf>
    <xf numFmtId="0" fontId="19" fillId="6" borderId="0" xfId="71" applyFill="1" applyAlignment="1" applyProtection="1"/>
    <xf numFmtId="0" fontId="42" fillId="6" borderId="0" xfId="71" applyFont="1" applyFill="1" applyProtection="1"/>
    <xf numFmtId="0" fontId="19" fillId="6" borderId="0" xfId="71" applyFill="1" applyProtection="1"/>
    <xf numFmtId="0" fontId="19" fillId="6" borderId="0" xfId="71" applyFill="1"/>
    <xf numFmtId="0" fontId="41" fillId="6" borderId="12" xfId="71" applyFont="1" applyFill="1" applyBorder="1" applyAlignment="1" applyProtection="1">
      <alignment vertical="center"/>
    </xf>
    <xf numFmtId="0" fontId="42" fillId="6" borderId="10" xfId="71" applyFont="1" applyFill="1" applyBorder="1" applyAlignment="1" applyProtection="1">
      <alignment vertical="center"/>
    </xf>
    <xf numFmtId="0" fontId="41" fillId="6" borderId="10" xfId="71" applyFont="1" applyFill="1" applyBorder="1" applyAlignment="1" applyProtection="1">
      <alignment horizontal="center" vertical="center"/>
    </xf>
    <xf numFmtId="0" fontId="41" fillId="6" borderId="12" xfId="71" applyFont="1" applyFill="1" applyBorder="1" applyAlignment="1" applyProtection="1">
      <alignment horizontal="center" vertical="center" wrapText="1"/>
    </xf>
    <xf numFmtId="0" fontId="42" fillId="6" borderId="10" xfId="71" applyFont="1" applyFill="1" applyBorder="1" applyAlignment="1" applyProtection="1">
      <alignment vertical="center" wrapText="1"/>
    </xf>
    <xf numFmtId="3" fontId="42" fillId="6" borderId="12" xfId="71" applyNumberFormat="1" applyFont="1" applyFill="1" applyBorder="1" applyAlignment="1" applyProtection="1">
      <alignment vertical="center"/>
    </xf>
    <xf numFmtId="0" fontId="30" fillId="10" borderId="9" xfId="0" applyFont="1" applyFill="1" applyBorder="1" applyProtection="1"/>
    <xf numFmtId="0" fontId="28" fillId="0" borderId="12" xfId="0" applyFont="1" applyBorder="1" applyAlignment="1">
      <alignment horizontal="center" vertical="center"/>
    </xf>
    <xf numFmtId="0" fontId="54" fillId="0" borderId="12" xfId="388" applyFont="1" applyBorder="1" applyAlignment="1">
      <alignment vertical="center"/>
    </xf>
    <xf numFmtId="0" fontId="49" fillId="14" borderId="12" xfId="0" applyFont="1" applyFill="1" applyBorder="1" applyAlignment="1">
      <alignment horizontal="center" vertical="center"/>
    </xf>
    <xf numFmtId="0" fontId="0" fillId="0" borderId="12" xfId="0" applyFont="1" applyBorder="1"/>
    <xf numFmtId="0" fontId="49" fillId="14" borderId="15" xfId="0" applyFont="1" applyFill="1" applyBorder="1" applyAlignment="1">
      <alignment horizontal="center" vertical="center"/>
    </xf>
    <xf numFmtId="0" fontId="49" fillId="14" borderId="16" xfId="0" applyFont="1" applyFill="1" applyBorder="1" applyAlignment="1">
      <alignment horizontal="center" vertical="center"/>
    </xf>
    <xf numFmtId="0" fontId="49" fillId="14" borderId="12" xfId="0" applyFont="1" applyFill="1" applyBorder="1" applyAlignment="1">
      <alignment horizontal="center"/>
    </xf>
    <xf numFmtId="0" fontId="0" fillId="11" borderId="12" xfId="0" applyFont="1" applyFill="1" applyBorder="1"/>
    <xf numFmtId="0" fontId="0" fillId="0" borderId="2" xfId="0" applyFont="1" applyBorder="1"/>
    <xf numFmtId="0" fontId="55" fillId="0" borderId="0" xfId="388" applyFont="1" applyFill="1" applyBorder="1" applyAlignment="1">
      <alignment vertical="center"/>
    </xf>
    <xf numFmtId="0" fontId="56" fillId="6" borderId="12" xfId="12" applyFont="1" applyFill="1" applyBorder="1" applyAlignment="1" applyProtection="1">
      <alignment horizontal="center" vertical="center" wrapText="1"/>
    </xf>
    <xf numFmtId="0" fontId="56" fillId="10" borderId="12" xfId="12" applyFont="1" applyFill="1" applyBorder="1" applyAlignment="1" applyProtection="1">
      <alignment horizontal="center" vertical="center" wrapText="1"/>
    </xf>
    <xf numFmtId="0" fontId="56" fillId="0" borderId="12" xfId="12" applyFont="1" applyFill="1" applyBorder="1" applyAlignment="1" applyProtection="1">
      <alignment horizontal="center" vertical="center" wrapText="1"/>
    </xf>
    <xf numFmtId="0" fontId="49" fillId="14" borderId="10" xfId="0" applyFont="1" applyFill="1" applyBorder="1" applyAlignment="1">
      <alignment horizontal="center" vertical="center" wrapText="1"/>
    </xf>
    <xf numFmtId="0" fontId="0" fillId="0" borderId="10" xfId="0" applyFont="1" applyBorder="1"/>
    <xf numFmtId="0" fontId="47" fillId="0" borderId="12" xfId="220" applyFont="1" applyFill="1" applyBorder="1" applyAlignment="1">
      <alignment horizontal="left" vertical="center" wrapText="1"/>
    </xf>
    <xf numFmtId="0" fontId="55" fillId="0" borderId="12" xfId="388" applyFont="1" applyFill="1" applyBorder="1" applyAlignment="1">
      <alignment vertical="center"/>
    </xf>
    <xf numFmtId="0" fontId="7" fillId="0" borderId="12" xfId="220" applyFont="1" applyFill="1" applyBorder="1" applyAlignment="1">
      <alignment horizontal="left" vertical="center" wrapText="1"/>
    </xf>
    <xf numFmtId="3" fontId="7" fillId="0" borderId="12" xfId="220" applyNumberFormat="1" applyFont="1" applyFill="1" applyBorder="1" applyAlignment="1">
      <alignment horizontal="left" vertical="center" wrapText="1"/>
    </xf>
    <xf numFmtId="0" fontId="51" fillId="0" borderId="12" xfId="220" applyFont="1" applyFill="1" applyBorder="1" applyAlignment="1">
      <alignment horizontal="left" vertical="center" wrapText="1"/>
    </xf>
    <xf numFmtId="0" fontId="52" fillId="0" borderId="12" xfId="220" applyFont="1" applyFill="1" applyBorder="1" applyAlignment="1">
      <alignment horizontal="left" vertical="center" wrapText="1"/>
    </xf>
    <xf numFmtId="0" fontId="42" fillId="0" borderId="10" xfId="71" applyFont="1" applyFill="1" applyBorder="1" applyAlignment="1" applyProtection="1">
      <alignment vertical="center" wrapText="1"/>
    </xf>
    <xf numFmtId="0" fontId="42" fillId="6" borderId="0" xfId="71" applyFont="1" applyFill="1" applyAlignment="1" applyProtection="1">
      <alignment vertical="center"/>
      <protection locked="0"/>
    </xf>
    <xf numFmtId="0" fontId="44" fillId="0" borderId="12" xfId="0" applyFont="1" applyBorder="1" applyAlignment="1">
      <alignment horizontal="center" vertical="center" wrapText="1"/>
    </xf>
    <xf numFmtId="165" fontId="44" fillId="0" borderId="12" xfId="0" applyNumberFormat="1" applyFont="1" applyFill="1" applyBorder="1" applyAlignment="1">
      <alignment horizontal="center" vertical="center" wrapText="1"/>
    </xf>
    <xf numFmtId="3" fontId="44" fillId="0" borderId="12" xfId="0" applyNumberFormat="1" applyFont="1" applyBorder="1" applyAlignment="1">
      <alignment horizontal="right" vertical="center"/>
    </xf>
    <xf numFmtId="165" fontId="44" fillId="0" borderId="12" xfId="0" applyNumberFormat="1" applyFont="1" applyBorder="1" applyAlignment="1">
      <alignment horizontal="right" vertical="center"/>
    </xf>
    <xf numFmtId="0" fontId="44" fillId="0" borderId="12" xfId="0" applyFont="1" applyBorder="1"/>
    <xf numFmtId="0" fontId="44" fillId="0" borderId="12" xfId="0" applyFont="1" applyFill="1" applyBorder="1"/>
    <xf numFmtId="165" fontId="59" fillId="0" borderId="12" xfId="0" applyNumberFormat="1" applyFont="1" applyBorder="1"/>
    <xf numFmtId="0" fontId="61" fillId="0" borderId="12" xfId="32" applyNumberFormat="1" applyFont="1" applyFill="1" applyBorder="1" applyAlignment="1">
      <alignment horizontal="center" vertical="center"/>
    </xf>
    <xf numFmtId="0" fontId="61" fillId="0" borderId="12" xfId="32" applyNumberFormat="1" applyFont="1" applyFill="1" applyBorder="1" applyAlignment="1">
      <alignment horizontal="center" vertical="center" wrapText="1"/>
    </xf>
    <xf numFmtId="0" fontId="61" fillId="9" borderId="12" xfId="32" applyNumberFormat="1" applyFont="1" applyFill="1" applyBorder="1" applyAlignment="1">
      <alignment horizontal="center" vertical="center"/>
    </xf>
    <xf numFmtId="0" fontId="61" fillId="9" borderId="12" xfId="32" applyNumberFormat="1" applyFont="1" applyFill="1" applyBorder="1" applyAlignment="1">
      <alignment horizontal="center" vertical="center" wrapText="1"/>
    </xf>
    <xf numFmtId="0" fontId="61" fillId="0" borderId="12" xfId="0" applyFont="1" applyFill="1" applyBorder="1" applyAlignment="1">
      <alignment horizontal="center" vertical="center" wrapText="1"/>
    </xf>
    <xf numFmtId="0" fontId="61" fillId="0" borderId="12" xfId="32" applyNumberFormat="1" applyFont="1" applyBorder="1" applyAlignment="1">
      <alignment horizontal="center" vertical="center"/>
    </xf>
    <xf numFmtId="0" fontId="61" fillId="13" borderId="12" xfId="72" applyNumberFormat="1" applyFont="1" applyFill="1" applyBorder="1" applyAlignment="1">
      <alignment horizontal="center" vertical="center" wrapText="1"/>
    </xf>
    <xf numFmtId="0" fontId="61" fillId="13" borderId="8" xfId="32" applyNumberFormat="1" applyFont="1" applyFill="1" applyBorder="1" applyAlignment="1">
      <alignment horizontal="center" vertical="center" wrapText="1"/>
    </xf>
    <xf numFmtId="0" fontId="62" fillId="0" borderId="12" xfId="32" applyNumberFormat="1" applyFont="1" applyFill="1" applyBorder="1" applyAlignment="1">
      <alignment horizontal="center" vertical="center"/>
    </xf>
    <xf numFmtId="0" fontId="63" fillId="0" borderId="12" xfId="33" applyNumberFormat="1" applyFont="1" applyFill="1" applyBorder="1" applyAlignment="1">
      <alignment vertical="center" wrapText="1"/>
    </xf>
    <xf numFmtId="0" fontId="62" fillId="0" borderId="12" xfId="32" applyNumberFormat="1" applyFont="1" applyFill="1" applyBorder="1" applyAlignment="1">
      <alignment vertical="center"/>
    </xf>
    <xf numFmtId="0" fontId="62" fillId="0" borderId="4" xfId="0" applyFont="1" applyFill="1" applyBorder="1" applyAlignment="1">
      <alignment horizontal="left" vertical="center" wrapText="1"/>
    </xf>
    <xf numFmtId="0" fontId="63" fillId="0" borderId="12" xfId="33" applyNumberFormat="1" applyFont="1" applyFill="1" applyBorder="1" applyAlignment="1">
      <alignment horizontal="center" vertical="center" wrapText="1"/>
    </xf>
    <xf numFmtId="0" fontId="63" fillId="0" borderId="12" xfId="33" applyNumberFormat="1" applyFont="1" applyFill="1" applyBorder="1" applyAlignment="1">
      <alignment horizontal="left" vertical="center" wrapText="1"/>
    </xf>
    <xf numFmtId="3" fontId="44" fillId="0" borderId="12" xfId="71" applyNumberFormat="1" applyFont="1" applyFill="1" applyBorder="1" applyAlignment="1">
      <alignment vertical="center"/>
    </xf>
    <xf numFmtId="3" fontId="44" fillId="0" borderId="12" xfId="0" applyNumberFormat="1" applyFont="1" applyFill="1" applyBorder="1" applyAlignment="1">
      <alignment vertical="center"/>
    </xf>
    <xf numFmtId="0" fontId="62" fillId="0" borderId="11" xfId="32" applyNumberFormat="1" applyFont="1" applyFill="1" applyBorder="1" applyAlignment="1">
      <alignment horizontal="center" vertical="center"/>
    </xf>
    <xf numFmtId="0" fontId="63" fillId="9" borderId="12" xfId="33" applyNumberFormat="1" applyFont="1" applyFill="1" applyBorder="1" applyAlignment="1">
      <alignment vertical="center" wrapText="1"/>
    </xf>
    <xf numFmtId="0" fontId="62" fillId="9" borderId="12" xfId="32" applyNumberFormat="1" applyFont="1" applyFill="1" applyBorder="1" applyAlignment="1">
      <alignment vertical="center"/>
    </xf>
    <xf numFmtId="0" fontId="62" fillId="9" borderId="11" xfId="32" applyNumberFormat="1" applyFont="1" applyFill="1" applyBorder="1" applyAlignment="1">
      <alignment horizontal="center" vertical="center"/>
    </xf>
    <xf numFmtId="0" fontId="62" fillId="0" borderId="12" xfId="33" applyNumberFormat="1" applyFont="1" applyFill="1" applyBorder="1" applyAlignment="1">
      <alignment vertical="center" wrapText="1"/>
    </xf>
    <xf numFmtId="0" fontId="62" fillId="0" borderId="12" xfId="33" applyNumberFormat="1" applyFont="1" applyFill="1" applyBorder="1" applyAlignment="1">
      <alignment horizontal="center" vertical="center" wrapText="1"/>
    </xf>
    <xf numFmtId="0" fontId="62" fillId="0" borderId="12" xfId="33" applyNumberFormat="1" applyFont="1" applyFill="1" applyBorder="1" applyAlignment="1">
      <alignment horizontal="left" vertical="center" wrapText="1"/>
    </xf>
    <xf numFmtId="0" fontId="62" fillId="0" borderId="12" xfId="32" applyNumberFormat="1" applyFont="1" applyFill="1" applyBorder="1" applyAlignment="1">
      <alignment vertical="center" wrapText="1"/>
    </xf>
    <xf numFmtId="0" fontId="63" fillId="0" borderId="14" xfId="33" applyNumberFormat="1" applyFont="1" applyFill="1" applyBorder="1" applyAlignment="1">
      <alignment vertical="center" wrapText="1"/>
    </xf>
    <xf numFmtId="0" fontId="63" fillId="0" borderId="11" xfId="33" applyFont="1" applyFill="1" applyBorder="1" applyAlignment="1">
      <alignment horizontal="center" vertical="center" wrapText="1"/>
    </xf>
    <xf numFmtId="49" fontId="63" fillId="0" borderId="12" xfId="33" applyNumberFormat="1" applyFont="1" applyFill="1" applyBorder="1" applyAlignment="1">
      <alignment horizontal="center" vertical="center" wrapText="1"/>
    </xf>
    <xf numFmtId="49" fontId="44" fillId="0" borderId="13" xfId="72" applyNumberFormat="1" applyFont="1" applyFill="1" applyBorder="1" applyAlignment="1">
      <alignment horizontal="center" vertical="center"/>
    </xf>
    <xf numFmtId="49" fontId="44" fillId="9" borderId="13" xfId="72" applyNumberFormat="1" applyFont="1" applyFill="1" applyBorder="1" applyAlignment="1">
      <alignment horizontal="center" vertical="center"/>
    </xf>
    <xf numFmtId="0" fontId="41" fillId="6" borderId="12" xfId="71" applyFont="1" applyFill="1" applyBorder="1" applyAlignment="1" applyProtection="1">
      <alignment vertical="center" wrapText="1"/>
    </xf>
    <xf numFmtId="3" fontId="41" fillId="6" borderId="12" xfId="71" applyNumberFormat="1" applyFont="1" applyFill="1" applyBorder="1" applyAlignment="1" applyProtection="1">
      <alignment vertical="center"/>
    </xf>
    <xf numFmtId="0" fontId="64" fillId="0" borderId="0" xfId="0" applyFont="1" applyFill="1" applyBorder="1"/>
    <xf numFmtId="0" fontId="0" fillId="0" borderId="0" xfId="0" applyAlignment="1">
      <alignment horizontal="center" vertical="center"/>
    </xf>
    <xf numFmtId="0" fontId="0" fillId="9" borderId="0" xfId="0" applyFill="1"/>
    <xf numFmtId="0" fontId="65" fillId="0" borderId="12" xfId="0" applyFont="1" applyFill="1" applyBorder="1" applyAlignment="1" applyProtection="1">
      <alignment horizontal="center" vertical="center" wrapText="1"/>
    </xf>
    <xf numFmtId="0" fontId="65" fillId="0" borderId="12" xfId="0" applyFont="1" applyFill="1" applyBorder="1" applyAlignment="1" applyProtection="1">
      <alignment horizontal="center" vertical="center"/>
    </xf>
    <xf numFmtId="3" fontId="65" fillId="0" borderId="12" xfId="0" applyNumberFormat="1" applyFont="1" applyFill="1" applyBorder="1" applyAlignment="1" applyProtection="1">
      <alignment horizontal="center" vertical="center"/>
    </xf>
    <xf numFmtId="3" fontId="65" fillId="0" borderId="12" xfId="0" applyNumberFormat="1" applyFont="1" applyFill="1" applyBorder="1" applyAlignment="1" applyProtection="1">
      <alignment horizontal="center" vertical="center" wrapText="1"/>
    </xf>
    <xf numFmtId="0" fontId="65" fillId="0" borderId="12" xfId="0" applyFont="1" applyFill="1" applyBorder="1" applyAlignment="1" applyProtection="1">
      <alignment horizontal="center" vertical="center" wrapText="1"/>
      <protection locked="0"/>
    </xf>
    <xf numFmtId="3" fontId="65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65" fillId="0" borderId="12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41" fillId="6" borderId="0" xfId="71" applyFont="1" applyFill="1" applyBorder="1" applyAlignment="1" applyProtection="1">
      <alignment vertical="center" wrapText="1"/>
    </xf>
    <xf numFmtId="3" fontId="41" fillId="6" borderId="0" xfId="71" applyNumberFormat="1" applyFont="1" applyFill="1" applyBorder="1" applyAlignment="1" applyProtection="1">
      <alignment vertical="center"/>
    </xf>
    <xf numFmtId="0" fontId="0" fillId="0" borderId="0" xfId="0"/>
    <xf numFmtId="3" fontId="41" fillId="6" borderId="0" xfId="71" applyNumberFormat="1" applyFont="1" applyFill="1" applyBorder="1" applyAlignment="1" applyProtection="1">
      <alignment vertical="center"/>
      <protection locked="0"/>
    </xf>
    <xf numFmtId="0" fontId="42" fillId="6" borderId="0" xfId="71" applyFont="1" applyFill="1" applyProtection="1">
      <protection locked="0"/>
    </xf>
    <xf numFmtId="0" fontId="19" fillId="6" borderId="0" xfId="71" applyFill="1" applyProtection="1">
      <protection locked="0"/>
    </xf>
    <xf numFmtId="0" fontId="46" fillId="6" borderId="0" xfId="71" applyFont="1" applyFill="1" applyProtection="1">
      <protection locked="0"/>
    </xf>
    <xf numFmtId="0" fontId="42" fillId="6" borderId="0" xfId="71" applyFont="1" applyFill="1" applyAlignment="1" applyProtection="1">
      <alignment horizontal="left" wrapText="1"/>
      <protection locked="0"/>
    </xf>
    <xf numFmtId="0" fontId="42" fillId="6" borderId="0" xfId="71" applyFont="1" applyFill="1" applyAlignment="1" applyProtection="1">
      <alignment horizontal="center" vertical="center"/>
      <protection locked="0"/>
    </xf>
    <xf numFmtId="0" fontId="42" fillId="6" borderId="0" xfId="71" applyFont="1" applyFill="1" applyAlignment="1" applyProtection="1">
      <alignment horizontal="center" vertical="top" wrapText="1"/>
      <protection locked="0"/>
    </xf>
    <xf numFmtId="0" fontId="42" fillId="0" borderId="0" xfId="71" applyFont="1" applyFill="1" applyAlignment="1" applyProtection="1">
      <alignment vertical="center"/>
      <protection locked="0"/>
    </xf>
    <xf numFmtId="0" fontId="42" fillId="6" borderId="0" xfId="71" applyFont="1" applyFill="1" applyAlignment="1" applyProtection="1">
      <alignment vertical="top" wrapText="1"/>
      <protection locked="0"/>
    </xf>
    <xf numFmtId="0" fontId="19" fillId="6" borderId="0" xfId="71" applyFill="1" applyAlignment="1">
      <alignment horizontal="center"/>
    </xf>
    <xf numFmtId="0" fontId="42" fillId="6" borderId="0" xfId="71" applyFont="1" applyFill="1" applyAlignment="1" applyProtection="1">
      <alignment horizontal="center" vertical="top"/>
      <protection locked="0"/>
    </xf>
    <xf numFmtId="0" fontId="56" fillId="6" borderId="18" xfId="12" applyFont="1" applyFill="1" applyBorder="1" applyAlignment="1" applyProtection="1">
      <alignment horizontal="center" vertical="center" wrapText="1"/>
    </xf>
    <xf numFmtId="3" fontId="67" fillId="0" borderId="18" xfId="0" applyNumberFormat="1" applyFont="1" applyBorder="1" applyAlignment="1">
      <alignment horizontal="center" vertical="center"/>
    </xf>
    <xf numFmtId="3" fontId="65" fillId="0" borderId="5" xfId="0" applyNumberFormat="1" applyFont="1" applyFill="1" applyBorder="1" applyAlignment="1" applyProtection="1">
      <alignment horizontal="center" vertical="center"/>
    </xf>
    <xf numFmtId="0" fontId="37" fillId="6" borderId="6" xfId="0" applyFont="1" applyFill="1" applyBorder="1" applyAlignment="1" applyProtection="1">
      <alignment vertical="center"/>
    </xf>
    <xf numFmtId="0" fontId="0" fillId="0" borderId="17" xfId="0" applyBorder="1"/>
    <xf numFmtId="0" fontId="0" fillId="0" borderId="19" xfId="0" applyBorder="1"/>
    <xf numFmtId="3" fontId="56" fillId="0" borderId="18" xfId="0" applyNumberFormat="1" applyFont="1" applyBorder="1" applyAlignment="1" applyProtection="1">
      <alignment horizontal="center" vertical="center"/>
    </xf>
    <xf numFmtId="3" fontId="56" fillId="0" borderId="5" xfId="0" applyNumberFormat="1" applyFont="1" applyBorder="1" applyAlignment="1" applyProtection="1">
      <alignment horizontal="center" vertical="center"/>
    </xf>
    <xf numFmtId="3" fontId="65" fillId="0" borderId="7" xfId="0" applyNumberFormat="1" applyFont="1" applyFill="1" applyBorder="1" applyAlignment="1" applyProtection="1">
      <alignment horizontal="center" vertical="center"/>
    </xf>
    <xf numFmtId="3" fontId="67" fillId="0" borderId="5" xfId="0" applyNumberFormat="1" applyFont="1" applyBorder="1" applyAlignment="1">
      <alignment horizontal="center" vertical="center"/>
    </xf>
    <xf numFmtId="0" fontId="37" fillId="6" borderId="9" xfId="0" applyFont="1" applyFill="1" applyBorder="1" applyAlignment="1" applyProtection="1">
      <alignment horizontal="center" vertical="center"/>
    </xf>
    <xf numFmtId="0" fontId="56" fillId="10" borderId="10" xfId="12" applyFont="1" applyFill="1" applyBorder="1" applyAlignment="1" applyProtection="1">
      <alignment horizontal="center" vertical="center" wrapText="1"/>
    </xf>
    <xf numFmtId="0" fontId="65" fillId="0" borderId="10" xfId="0" applyFont="1" applyFill="1" applyBorder="1" applyAlignment="1" applyProtection="1">
      <alignment horizontal="center" vertical="center"/>
    </xf>
    <xf numFmtId="3" fontId="31" fillId="10" borderId="20" xfId="0" applyNumberFormat="1" applyFont="1" applyFill="1" applyBorder="1" applyAlignment="1" applyProtection="1">
      <alignment horizontal="center" vertical="center"/>
    </xf>
    <xf numFmtId="3" fontId="56" fillId="0" borderId="12" xfId="0" applyNumberFormat="1" applyFont="1" applyBorder="1" applyAlignment="1" applyProtection="1">
      <alignment horizontal="center" vertical="center"/>
    </xf>
    <xf numFmtId="0" fontId="56" fillId="7" borderId="18" xfId="12" applyFont="1" applyFill="1" applyBorder="1" applyAlignment="1" applyProtection="1">
      <alignment horizontal="center" vertical="center" wrapText="1"/>
    </xf>
    <xf numFmtId="0" fontId="56" fillId="7" borderId="12" xfId="12" applyFont="1" applyFill="1" applyBorder="1" applyAlignment="1" applyProtection="1">
      <alignment horizontal="center" vertical="center" wrapText="1"/>
    </xf>
    <xf numFmtId="0" fontId="56" fillId="7" borderId="5" xfId="12" applyFont="1" applyFill="1" applyBorder="1" applyAlignment="1" applyProtection="1">
      <alignment horizontal="center" vertical="center" wrapText="1"/>
    </xf>
    <xf numFmtId="3" fontId="65" fillId="0" borderId="18" xfId="0" applyNumberFormat="1" applyFont="1" applyFill="1" applyBorder="1" applyAlignment="1" applyProtection="1">
      <alignment horizontal="center" vertical="center"/>
    </xf>
    <xf numFmtId="0" fontId="37" fillId="6" borderId="9" xfId="0" applyFont="1" applyFill="1" applyBorder="1" applyAlignment="1" applyProtection="1">
      <alignment vertical="center"/>
    </xf>
    <xf numFmtId="3" fontId="56" fillId="0" borderId="11" xfId="0" applyNumberFormat="1" applyFont="1" applyBorder="1" applyAlignment="1" applyProtection="1">
      <alignment horizontal="center" vertical="center"/>
    </xf>
    <xf numFmtId="0" fontId="56" fillId="6" borderId="11" xfId="12" applyFont="1" applyFill="1" applyBorder="1" applyAlignment="1" applyProtection="1">
      <alignment horizontal="center" vertical="center" wrapText="1"/>
    </xf>
    <xf numFmtId="3" fontId="67" fillId="0" borderId="11" xfId="0" applyNumberFormat="1" applyFont="1" applyBorder="1" applyAlignment="1">
      <alignment horizontal="center" vertical="center"/>
    </xf>
    <xf numFmtId="0" fontId="68" fillId="10" borderId="9" xfId="0" applyFont="1" applyFill="1" applyBorder="1" applyProtection="1"/>
    <xf numFmtId="0" fontId="29" fillId="10" borderId="9" xfId="12" applyFont="1" applyFill="1" applyBorder="1" applyAlignment="1" applyProtection="1">
      <alignment horizontal="center" vertical="center" wrapText="1"/>
    </xf>
    <xf numFmtId="0" fontId="65" fillId="0" borderId="9" xfId="0" applyFont="1" applyFill="1" applyBorder="1" applyAlignment="1" applyProtection="1">
      <alignment horizontal="center" vertical="center"/>
    </xf>
    <xf numFmtId="3" fontId="69" fillId="10" borderId="20" xfId="0" applyNumberFormat="1" applyFont="1" applyFill="1" applyBorder="1" applyAlignment="1" applyProtection="1">
      <alignment horizontal="center" vertical="center"/>
    </xf>
    <xf numFmtId="0" fontId="37" fillId="6" borderId="18" xfId="0" applyFont="1" applyFill="1" applyBorder="1" applyAlignment="1" applyProtection="1">
      <alignment vertical="center"/>
    </xf>
    <xf numFmtId="0" fontId="37" fillId="6" borderId="5" xfId="0" applyFont="1" applyFill="1" applyBorder="1" applyAlignment="1" applyProtection="1">
      <alignment vertical="center"/>
    </xf>
    <xf numFmtId="0" fontId="38" fillId="6" borderId="9" xfId="0" applyFont="1" applyFill="1" applyBorder="1" applyAlignment="1" applyProtection="1">
      <alignment horizontal="left" vertical="center"/>
    </xf>
    <xf numFmtId="0" fontId="29" fillId="10" borderId="9" xfId="0" applyFont="1" applyFill="1" applyBorder="1" applyProtection="1"/>
    <xf numFmtId="3" fontId="56" fillId="0" borderId="10" xfId="0" applyNumberFormat="1" applyFont="1" applyBorder="1" applyAlignment="1" applyProtection="1">
      <alignment horizontal="center" vertical="center"/>
    </xf>
    <xf numFmtId="0" fontId="56" fillId="6" borderId="10" xfId="12" applyFont="1" applyFill="1" applyBorder="1" applyAlignment="1" applyProtection="1">
      <alignment horizontal="center" vertical="center" wrapText="1"/>
    </xf>
    <xf numFmtId="0" fontId="65" fillId="0" borderId="10" xfId="0" applyFont="1" applyFill="1" applyBorder="1" applyAlignment="1" applyProtection="1">
      <alignment horizontal="center" vertical="center"/>
      <protection locked="0"/>
    </xf>
    <xf numFmtId="0" fontId="0" fillId="6" borderId="18" xfId="0" applyFill="1" applyBorder="1" applyProtection="1"/>
    <xf numFmtId="0" fontId="37" fillId="6" borderId="12" xfId="0" applyFont="1" applyFill="1" applyBorder="1" applyAlignment="1" applyProtection="1">
      <alignment horizontal="center" vertical="center"/>
    </xf>
    <xf numFmtId="0" fontId="0" fillId="6" borderId="5" xfId="0" applyFill="1" applyBorder="1" applyProtection="1"/>
    <xf numFmtId="3" fontId="29" fillId="10" borderId="18" xfId="0" applyNumberFormat="1" applyFont="1" applyFill="1" applyBorder="1" applyAlignment="1" applyProtection="1">
      <alignment horizontal="center" vertical="center"/>
    </xf>
    <xf numFmtId="0" fontId="62" fillId="15" borderId="12" xfId="33" applyNumberFormat="1" applyFont="1" applyFill="1" applyBorder="1" applyAlignment="1">
      <alignment horizontal="center" vertical="center" wrapText="1"/>
    </xf>
    <xf numFmtId="0" fontId="63" fillId="15" borderId="12" xfId="33" applyNumberFormat="1" applyFont="1" applyFill="1" applyBorder="1" applyAlignment="1">
      <alignment horizontal="center" vertical="center" wrapText="1"/>
    </xf>
    <xf numFmtId="0" fontId="63" fillId="15" borderId="11" xfId="33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/>
    </xf>
    <xf numFmtId="0" fontId="63" fillId="0" borderId="4" xfId="33" applyNumberFormat="1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/>
    </xf>
    <xf numFmtId="0" fontId="42" fillId="6" borderId="0" xfId="71" applyFont="1" applyFill="1" applyBorder="1" applyAlignment="1" applyProtection="1">
      <alignment vertical="center" wrapText="1"/>
      <protection locked="0"/>
    </xf>
    <xf numFmtId="0" fontId="44" fillId="0" borderId="0" xfId="0" applyFont="1" applyFill="1" applyBorder="1" applyAlignment="1">
      <alignment horizontal="left" vertical="center"/>
    </xf>
    <xf numFmtId="0" fontId="0" fillId="0" borderId="0" xfId="0" applyAlignment="1"/>
    <xf numFmtId="2" fontId="44" fillId="9" borderId="21" xfId="0" applyNumberFormat="1" applyFont="1" applyFill="1" applyBorder="1" applyAlignment="1">
      <alignment horizontal="center" wrapText="1"/>
    </xf>
    <xf numFmtId="2" fontId="44" fillId="0" borderId="21" xfId="0" applyNumberFormat="1" applyFont="1" applyBorder="1" applyAlignment="1">
      <alignment horizontal="center" wrapText="1"/>
    </xf>
    <xf numFmtId="0" fontId="44" fillId="0" borderId="21" xfId="0" applyFont="1" applyBorder="1" applyAlignment="1">
      <alignment vertical="center" wrapText="1"/>
    </xf>
    <xf numFmtId="0" fontId="44" fillId="0" borderId="2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3" fontId="60" fillId="0" borderId="21" xfId="0" applyNumberFormat="1" applyFont="1" applyFill="1" applyBorder="1" applyAlignment="1">
      <alignment horizontal="center" vertical="center" wrapText="1"/>
    </xf>
    <xf numFmtId="0" fontId="60" fillId="0" borderId="21" xfId="0" applyNumberFormat="1" applyFont="1" applyFill="1" applyBorder="1" applyAlignment="1">
      <alignment horizontal="center" vertical="center" wrapText="1"/>
    </xf>
    <xf numFmtId="0" fontId="60" fillId="0" borderId="21" xfId="0" applyFont="1" applyBorder="1" applyAlignment="1">
      <alignment horizontal="center" vertical="center" wrapText="1"/>
    </xf>
    <xf numFmtId="3" fontId="0" fillId="0" borderId="12" xfId="0" applyNumberFormat="1" applyBorder="1"/>
    <xf numFmtId="0" fontId="0" fillId="6" borderId="0" xfId="0" applyFill="1"/>
    <xf numFmtId="0" fontId="73" fillId="6" borderId="0" xfId="0" applyFont="1" applyFill="1" applyAlignment="1">
      <alignment horizontal="center" vertical="center"/>
    </xf>
    <xf numFmtId="0" fontId="74" fillId="6" borderId="0" xfId="0" applyFont="1" applyFill="1" applyAlignment="1">
      <alignment horizontal="center" vertical="center"/>
    </xf>
    <xf numFmtId="0" fontId="72" fillId="6" borderId="12" xfId="0" applyFont="1" applyFill="1" applyBorder="1" applyAlignment="1">
      <alignment vertical="center" wrapText="1"/>
    </xf>
    <xf numFmtId="0" fontId="72" fillId="6" borderId="12" xfId="0" applyFont="1" applyFill="1" applyBorder="1" applyAlignment="1">
      <alignment horizontal="center" vertical="center" wrapText="1"/>
    </xf>
    <xf numFmtId="0" fontId="71" fillId="6" borderId="12" xfId="0" applyFont="1" applyFill="1" applyBorder="1" applyAlignment="1">
      <alignment horizontal="center" vertical="center" wrapText="1"/>
    </xf>
    <xf numFmtId="0" fontId="42" fillId="6" borderId="0" xfId="0" applyFont="1" applyFill="1" applyAlignment="1">
      <alignment horizontal="justify" vertical="center"/>
    </xf>
    <xf numFmtId="0" fontId="5" fillId="6" borderId="0" xfId="0" applyFont="1" applyFill="1" applyAlignment="1">
      <alignment vertical="center"/>
    </xf>
    <xf numFmtId="0" fontId="36" fillId="6" borderId="0" xfId="37" applyFill="1" applyAlignment="1">
      <alignment vertical="center"/>
    </xf>
    <xf numFmtId="0" fontId="44" fillId="6" borderId="0" xfId="0" applyFont="1" applyFill="1" applyAlignment="1">
      <alignment vertical="center"/>
    </xf>
    <xf numFmtId="0" fontId="0" fillId="0" borderId="12" xfId="0" applyBorder="1" applyAlignment="1">
      <alignment horizontal="left" vertical="center" wrapText="1"/>
    </xf>
    <xf numFmtId="3" fontId="0" fillId="0" borderId="12" xfId="0" applyNumberFormat="1" applyBorder="1" applyAlignment="1">
      <alignment horizontal="right" vertical="center"/>
    </xf>
    <xf numFmtId="0" fontId="0" fillId="0" borderId="12" xfId="0" applyBorder="1" applyAlignment="1">
      <alignment vertical="center" wrapText="1"/>
    </xf>
    <xf numFmtId="4" fontId="0" fillId="0" borderId="12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4" fontId="0" fillId="0" borderId="12" xfId="0" applyNumberFormat="1" applyBorder="1"/>
    <xf numFmtId="0" fontId="0" fillId="0" borderId="12" xfId="0" applyBorder="1" applyAlignment="1">
      <alignment wrapText="1"/>
    </xf>
    <xf numFmtId="0" fontId="0" fillId="6" borderId="12" xfId="0" applyFill="1" applyBorder="1"/>
    <xf numFmtId="3" fontId="0" fillId="6" borderId="12" xfId="0" applyNumberFormat="1" applyFill="1" applyBorder="1"/>
    <xf numFmtId="3" fontId="31" fillId="10" borderId="22" xfId="0" applyNumberFormat="1" applyFont="1" applyFill="1" applyBorder="1" applyAlignment="1" applyProtection="1">
      <alignment horizontal="center" vertical="center"/>
    </xf>
    <xf numFmtId="0" fontId="56" fillId="7" borderId="11" xfId="12" applyFont="1" applyFill="1" applyBorder="1" applyAlignment="1" applyProtection="1">
      <alignment horizontal="center" vertical="center" wrapText="1"/>
    </xf>
    <xf numFmtId="3" fontId="65" fillId="0" borderId="11" xfId="0" applyNumberFormat="1" applyFont="1" applyFill="1" applyBorder="1" applyAlignment="1" applyProtection="1">
      <alignment horizontal="center" vertical="center"/>
    </xf>
    <xf numFmtId="0" fontId="0" fillId="0" borderId="6" xfId="0" applyFill="1" applyBorder="1" applyProtection="1"/>
    <xf numFmtId="0" fontId="37" fillId="0" borderId="7" xfId="0" applyFont="1" applyFill="1" applyBorder="1" applyAlignment="1" applyProtection="1">
      <alignment vertical="center"/>
    </xf>
    <xf numFmtId="0" fontId="37" fillId="6" borderId="0" xfId="0" applyFont="1" applyFill="1" applyBorder="1" applyAlignment="1" applyProtection="1">
      <alignment horizontal="center" vertical="center"/>
    </xf>
    <xf numFmtId="0" fontId="42" fillId="0" borderId="0" xfId="71" applyFont="1" applyFill="1" applyBorder="1" applyAlignment="1" applyProtection="1">
      <alignment vertical="center" wrapText="1"/>
      <protection locked="0"/>
    </xf>
    <xf numFmtId="0" fontId="76" fillId="0" borderId="12" xfId="0" applyFont="1" applyBorder="1" applyAlignment="1">
      <alignment horizontal="center" vertical="center" wrapText="1"/>
    </xf>
    <xf numFmtId="0" fontId="78" fillId="0" borderId="12" xfId="0" applyFont="1" applyBorder="1" applyAlignment="1">
      <alignment horizontal="center" vertical="center" wrapText="1"/>
    </xf>
    <xf numFmtId="0" fontId="77" fillId="0" borderId="12" xfId="37" applyFont="1" applyBorder="1" applyAlignment="1">
      <alignment horizontal="center" vertical="center" wrapText="1"/>
    </xf>
    <xf numFmtId="0" fontId="36" fillId="0" borderId="12" xfId="37" applyBorder="1"/>
    <xf numFmtId="0" fontId="42" fillId="0" borderId="12" xfId="0" applyNumberFormat="1" applyFont="1" applyBorder="1" applyAlignment="1">
      <alignment horizontal="center" vertical="center" wrapText="1"/>
    </xf>
    <xf numFmtId="166" fontId="42" fillId="0" borderId="12" xfId="0" applyNumberFormat="1" applyFont="1" applyBorder="1" applyAlignment="1">
      <alignment horizontal="center" vertical="center" wrapText="1"/>
    </xf>
    <xf numFmtId="0" fontId="78" fillId="0" borderId="12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0" fontId="42" fillId="0" borderId="12" xfId="0" applyNumberFormat="1" applyFont="1" applyFill="1" applyBorder="1" applyAlignment="1">
      <alignment horizontal="center" vertical="center" wrapText="1"/>
    </xf>
    <xf numFmtId="166" fontId="42" fillId="0" borderId="12" xfId="0" applyNumberFormat="1" applyFont="1" applyFill="1" applyBorder="1" applyAlignment="1">
      <alignment horizontal="center" vertical="center" wrapText="1"/>
    </xf>
    <xf numFmtId="0" fontId="0" fillId="12" borderId="12" xfId="0" applyFill="1" applyBorder="1"/>
    <xf numFmtId="167" fontId="42" fillId="0" borderId="12" xfId="0" applyNumberFormat="1" applyFont="1" applyFill="1" applyBorder="1" applyAlignment="1">
      <alignment horizontal="center" vertical="center" wrapText="1"/>
    </xf>
    <xf numFmtId="168" fontId="42" fillId="0" borderId="12" xfId="0" applyNumberFormat="1" applyFont="1" applyFill="1" applyBorder="1" applyAlignment="1">
      <alignment horizontal="center" vertical="center" wrapText="1"/>
    </xf>
    <xf numFmtId="0" fontId="42" fillId="12" borderId="12" xfId="0" applyNumberFormat="1" applyFont="1" applyFill="1" applyBorder="1" applyAlignment="1">
      <alignment horizontal="center" vertical="center" wrapText="1"/>
    </xf>
    <xf numFmtId="166" fontId="42" fillId="12" borderId="12" xfId="0" applyNumberFormat="1" applyFont="1" applyFill="1" applyBorder="1" applyAlignment="1">
      <alignment horizontal="center" vertical="center" wrapText="1"/>
    </xf>
    <xf numFmtId="3" fontId="0" fillId="12" borderId="12" xfId="0" applyNumberFormat="1" applyFill="1" applyBorder="1"/>
    <xf numFmtId="0" fontId="79" fillId="0" borderId="12" xfId="0" applyFont="1" applyBorder="1"/>
    <xf numFmtId="0" fontId="42" fillId="6" borderId="0" xfId="71" applyFont="1" applyFill="1" applyAlignment="1" applyProtection="1">
      <alignment horizontal="center" vertical="top" wrapText="1"/>
      <protection locked="0"/>
    </xf>
    <xf numFmtId="0" fontId="42" fillId="6" borderId="0" xfId="71" applyFont="1" applyFill="1" applyAlignment="1" applyProtection="1">
      <alignment horizontal="center" vertical="center"/>
      <protection locked="0"/>
    </xf>
    <xf numFmtId="3" fontId="41" fillId="17" borderId="12" xfId="71" applyNumberFormat="1" applyFont="1" applyFill="1" applyBorder="1" applyAlignment="1" applyProtection="1">
      <alignment vertical="center"/>
    </xf>
    <xf numFmtId="0" fontId="41" fillId="0" borderId="12" xfId="71" applyFont="1" applyFill="1" applyBorder="1" applyAlignment="1" applyProtection="1">
      <alignment vertical="center" wrapText="1"/>
    </xf>
    <xf numFmtId="3" fontId="42" fillId="17" borderId="10" xfId="71" applyNumberFormat="1" applyFont="1" applyFill="1" applyBorder="1" applyAlignment="1" applyProtection="1">
      <alignment vertical="center"/>
    </xf>
    <xf numFmtId="3" fontId="42" fillId="17" borderId="9" xfId="71" applyNumberFormat="1" applyFont="1" applyFill="1" applyBorder="1" applyAlignment="1" applyProtection="1">
      <alignment vertical="center"/>
    </xf>
    <xf numFmtId="3" fontId="42" fillId="12" borderId="12" xfId="71" applyNumberFormat="1" applyFont="1" applyFill="1" applyBorder="1" applyAlignment="1" applyProtection="1">
      <alignment vertical="center"/>
    </xf>
    <xf numFmtId="3" fontId="41" fillId="12" borderId="12" xfId="71" applyNumberFormat="1" applyFont="1" applyFill="1" applyBorder="1" applyAlignment="1" applyProtection="1">
      <alignment vertical="center"/>
    </xf>
    <xf numFmtId="0" fontId="0" fillId="6" borderId="10" xfId="0" applyFill="1" applyBorder="1" applyProtection="1"/>
    <xf numFmtId="0" fontId="29" fillId="10" borderId="10" xfId="0" applyFont="1" applyFill="1" applyBorder="1" applyAlignment="1" applyProtection="1">
      <alignment horizontal="center" vertical="center" wrapText="1"/>
    </xf>
    <xf numFmtId="0" fontId="65" fillId="10" borderId="10" xfId="0" applyFont="1" applyFill="1" applyBorder="1" applyAlignment="1" applyProtection="1">
      <alignment horizontal="center" vertical="center"/>
    </xf>
    <xf numFmtId="49" fontId="0" fillId="6" borderId="18" xfId="0" applyNumberFormat="1" applyFill="1" applyBorder="1" applyAlignment="1" applyProtection="1">
      <alignment horizontal="center" wrapText="1"/>
    </xf>
    <xf numFmtId="0" fontId="38" fillId="6" borderId="9" xfId="0" applyFont="1" applyFill="1" applyBorder="1" applyAlignment="1" applyProtection="1">
      <alignment horizontal="right" vertical="center"/>
    </xf>
    <xf numFmtId="0" fontId="56" fillId="10" borderId="18" xfId="0" applyFont="1" applyFill="1" applyBorder="1" applyAlignment="1" applyProtection="1">
      <alignment horizontal="center" vertical="center" wrapText="1"/>
    </xf>
    <xf numFmtId="0" fontId="68" fillId="10" borderId="11" xfId="0" applyFont="1" applyFill="1" applyBorder="1" applyProtection="1"/>
    <xf numFmtId="0" fontId="68" fillId="10" borderId="12" xfId="0" applyFont="1" applyFill="1" applyBorder="1" applyProtection="1"/>
    <xf numFmtId="0" fontId="29" fillId="10" borderId="12" xfId="12" applyFont="1" applyFill="1" applyBorder="1" applyAlignment="1" applyProtection="1">
      <alignment horizontal="center" vertical="center" wrapText="1"/>
    </xf>
    <xf numFmtId="0" fontId="29" fillId="10" borderId="10" xfId="12" applyFont="1" applyFill="1" applyBorder="1" applyAlignment="1" applyProtection="1">
      <alignment horizontal="center" vertical="center" wrapText="1"/>
    </xf>
    <xf numFmtId="0" fontId="65" fillId="0" borderId="18" xfId="0" applyFont="1" applyFill="1" applyBorder="1" applyAlignment="1" applyProtection="1">
      <alignment horizontal="center" vertical="center" wrapText="1"/>
      <protection locked="0"/>
    </xf>
    <xf numFmtId="49" fontId="0" fillId="6" borderId="7" xfId="0" applyNumberFormat="1" applyFill="1" applyBorder="1" applyAlignment="1" applyProtection="1">
      <alignment horizontal="center" wrapText="1"/>
    </xf>
    <xf numFmtId="0" fontId="56" fillId="10" borderId="12" xfId="0" applyFont="1" applyFill="1" applyBorder="1" applyAlignment="1" applyProtection="1">
      <alignment horizontal="center" vertical="center" wrapText="1"/>
    </xf>
    <xf numFmtId="3" fontId="56" fillId="0" borderId="12" xfId="0" applyNumberFormat="1" applyFont="1" applyFill="1" applyBorder="1" applyAlignment="1" applyProtection="1">
      <alignment horizontal="center" vertical="center"/>
    </xf>
    <xf numFmtId="0" fontId="56" fillId="0" borderId="18" xfId="12" applyFont="1" applyFill="1" applyBorder="1" applyAlignment="1" applyProtection="1">
      <alignment horizontal="center" vertical="center" wrapText="1"/>
    </xf>
    <xf numFmtId="0" fontId="56" fillId="0" borderId="5" xfId="12" applyFont="1" applyFill="1" applyBorder="1" applyAlignment="1" applyProtection="1">
      <alignment horizontal="center" vertical="center" wrapText="1"/>
    </xf>
    <xf numFmtId="0" fontId="0" fillId="0" borderId="5" xfId="0" applyBorder="1"/>
    <xf numFmtId="0" fontId="0" fillId="0" borderId="18" xfId="0" applyBorder="1"/>
    <xf numFmtId="0" fontId="0" fillId="0" borderId="1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6" borderId="0" xfId="0" applyFill="1" applyProtection="1"/>
    <xf numFmtId="0" fontId="0" fillId="6" borderId="19" xfId="0" applyFill="1" applyBorder="1" applyProtection="1"/>
    <xf numFmtId="0" fontId="0" fillId="6" borderId="9" xfId="0" applyFill="1" applyBorder="1" applyAlignment="1" applyProtection="1">
      <alignment horizontal="center" vertical="center"/>
    </xf>
    <xf numFmtId="3" fontId="67" fillId="0" borderId="10" xfId="0" applyNumberFormat="1" applyFont="1" applyBorder="1" applyAlignment="1" applyProtection="1">
      <alignment horizontal="center" vertical="center"/>
    </xf>
    <xf numFmtId="3" fontId="67" fillId="0" borderId="5" xfId="0" applyNumberFormat="1" applyFont="1" applyBorder="1" applyAlignment="1" applyProtection="1">
      <alignment horizontal="center" vertical="center"/>
    </xf>
    <xf numFmtId="0" fontId="0" fillId="0" borderId="18" xfId="0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 wrapText="1"/>
    </xf>
    <xf numFmtId="0" fontId="0" fillId="0" borderId="5" xfId="0" applyBorder="1" applyAlignment="1" applyProtection="1">
      <alignment horizontal="center" vertical="center" wrapText="1"/>
    </xf>
    <xf numFmtId="3" fontId="67" fillId="0" borderId="11" xfId="0" applyNumberFormat="1" applyFont="1" applyBorder="1" applyAlignment="1" applyProtection="1">
      <alignment horizontal="center" vertical="center"/>
      <protection locked="0"/>
    </xf>
    <xf numFmtId="3" fontId="67" fillId="0" borderId="12" xfId="0" applyNumberFormat="1" applyFont="1" applyBorder="1" applyAlignment="1" applyProtection="1">
      <alignment horizontal="center" vertical="center"/>
      <protection locked="0"/>
    </xf>
    <xf numFmtId="0" fontId="0" fillId="6" borderId="2" xfId="0" applyFill="1" applyBorder="1" applyProtection="1"/>
    <xf numFmtId="0" fontId="56" fillId="0" borderId="11" xfId="12" applyFont="1" applyFill="1" applyBorder="1" applyAlignment="1" applyProtection="1">
      <alignment horizontal="center" vertical="center" wrapText="1"/>
    </xf>
    <xf numFmtId="0" fontId="81" fillId="6" borderId="6" xfId="0" applyFont="1" applyFill="1" applyBorder="1" applyAlignment="1" applyProtection="1">
      <alignment horizontal="center" vertical="center"/>
    </xf>
    <xf numFmtId="0" fontId="81" fillId="6" borderId="9" xfId="0" applyFont="1" applyFill="1" applyBorder="1" applyAlignment="1" applyProtection="1">
      <alignment horizontal="center" vertical="center"/>
    </xf>
    <xf numFmtId="3" fontId="31" fillId="6" borderId="10" xfId="0" applyNumberFormat="1" applyFont="1" applyFill="1" applyBorder="1" applyAlignment="1" applyProtection="1">
      <alignment horizontal="right" vertical="center" wrapText="1"/>
    </xf>
    <xf numFmtId="0" fontId="37" fillId="6" borderId="23" xfId="0" applyFont="1" applyFill="1" applyBorder="1" applyAlignment="1" applyProtection="1">
      <alignment horizontal="center" vertical="center"/>
    </xf>
    <xf numFmtId="0" fontId="0" fillId="6" borderId="23" xfId="0" applyFill="1" applyBorder="1" applyAlignment="1" applyProtection="1">
      <alignment horizontal="center" vertical="center"/>
    </xf>
    <xf numFmtId="0" fontId="56" fillId="0" borderId="23" xfId="12" applyFont="1" applyFill="1" applyBorder="1" applyAlignment="1" applyProtection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3" fontId="82" fillId="0" borderId="0" xfId="0" applyNumberFormat="1" applyFont="1" applyFill="1" applyBorder="1" applyAlignment="1" applyProtection="1">
      <alignment horizontal="center" vertical="center"/>
    </xf>
    <xf numFmtId="3" fontId="31" fillId="6" borderId="11" xfId="0" applyNumberFormat="1" applyFont="1" applyFill="1" applyBorder="1" applyAlignment="1" applyProtection="1">
      <alignment horizontal="left" vertical="center"/>
    </xf>
    <xf numFmtId="3" fontId="31" fillId="10" borderId="10" xfId="0" applyNumberFormat="1" applyFont="1" applyFill="1" applyBorder="1" applyAlignment="1" applyProtection="1">
      <alignment horizontal="center" vertical="center"/>
    </xf>
    <xf numFmtId="0" fontId="30" fillId="10" borderId="6" xfId="0" applyFont="1" applyFill="1" applyBorder="1" applyProtection="1"/>
    <xf numFmtId="3" fontId="30" fillId="10" borderId="11" xfId="0" applyNumberFormat="1" applyFont="1" applyFill="1" applyBorder="1" applyAlignment="1" applyProtection="1">
      <alignment horizontal="left" vertical="center"/>
    </xf>
    <xf numFmtId="0" fontId="29" fillId="10" borderId="9" xfId="0" applyFont="1" applyFill="1" applyBorder="1" applyAlignment="1" applyProtection="1">
      <alignment horizontal="left" vertical="center"/>
    </xf>
    <xf numFmtId="0" fontId="68" fillId="10" borderId="9" xfId="0" applyFont="1" applyFill="1" applyBorder="1" applyAlignment="1" applyProtection="1">
      <alignment horizontal="left" vertical="center"/>
    </xf>
    <xf numFmtId="0" fontId="42" fillId="6" borderId="0" xfId="71" applyFont="1" applyFill="1" applyAlignment="1" applyProtection="1">
      <alignment vertical="center"/>
    </xf>
    <xf numFmtId="0" fontId="46" fillId="6" borderId="0" xfId="71" applyFont="1" applyFill="1" applyProtection="1"/>
    <xf numFmtId="0" fontId="42" fillId="6" borderId="0" xfId="71" applyFont="1" applyFill="1" applyAlignment="1" applyProtection="1">
      <alignment horizontal="center" wrapText="1"/>
    </xf>
    <xf numFmtId="0" fontId="42" fillId="6" borderId="0" xfId="71" applyFont="1" applyFill="1" applyAlignment="1" applyProtection="1">
      <alignment horizontal="left" wrapText="1"/>
    </xf>
    <xf numFmtId="3" fontId="42" fillId="17" borderId="12" xfId="71" applyNumberFormat="1" applyFont="1" applyFill="1" applyBorder="1" applyAlignment="1" applyProtection="1">
      <alignment vertical="center"/>
    </xf>
    <xf numFmtId="3" fontId="41" fillId="17" borderId="9" xfId="71" applyNumberFormat="1" applyFont="1" applyFill="1" applyBorder="1" applyAlignment="1" applyProtection="1">
      <alignment vertical="center"/>
    </xf>
    <xf numFmtId="3" fontId="41" fillId="17" borderId="11" xfId="71" applyNumberFormat="1" applyFont="1" applyFill="1" applyBorder="1" applyAlignment="1" applyProtection="1">
      <alignment vertical="center"/>
    </xf>
    <xf numFmtId="0" fontId="61" fillId="16" borderId="12" xfId="0" applyFont="1" applyFill="1" applyBorder="1" applyAlignment="1">
      <alignment horizontal="center" vertical="center" wrapText="1"/>
    </xf>
    <xf numFmtId="3" fontId="44" fillId="16" borderId="12" xfId="0" applyNumberFormat="1" applyFont="1" applyFill="1" applyBorder="1" applyAlignment="1">
      <alignment vertical="center"/>
    </xf>
    <xf numFmtId="0" fontId="60" fillId="16" borderId="12" xfId="0" applyFont="1" applyFill="1" applyBorder="1" applyAlignment="1">
      <alignment horizontal="center" vertical="center" wrapText="1"/>
    </xf>
    <xf numFmtId="3" fontId="60" fillId="16" borderId="12" xfId="0" applyNumberFormat="1" applyFont="1" applyFill="1" applyBorder="1" applyAlignment="1">
      <alignment horizontal="right" vertical="center"/>
    </xf>
    <xf numFmtId="0" fontId="60" fillId="8" borderId="12" xfId="0" applyFont="1" applyFill="1" applyBorder="1" applyAlignment="1">
      <alignment horizontal="center" vertical="center" wrapText="1"/>
    </xf>
    <xf numFmtId="165" fontId="60" fillId="8" borderId="12" xfId="0" applyNumberFormat="1" applyFont="1" applyFill="1" applyBorder="1" applyAlignment="1">
      <alignment horizontal="right" vertical="center"/>
    </xf>
    <xf numFmtId="2" fontId="44" fillId="12" borderId="21" xfId="0" applyNumberFormat="1" applyFont="1" applyFill="1" applyBorder="1" applyAlignment="1">
      <alignment horizontal="center" wrapText="1"/>
    </xf>
    <xf numFmtId="0" fontId="0" fillId="12" borderId="0" xfId="0" applyFill="1"/>
    <xf numFmtId="0" fontId="0" fillId="12" borderId="0" xfId="0" applyFill="1" applyAlignment="1"/>
    <xf numFmtId="0" fontId="72" fillId="6" borderId="12" xfId="0" applyFont="1" applyFill="1" applyBorder="1" applyAlignment="1">
      <alignment horizontal="left" vertical="center" wrapText="1"/>
    </xf>
    <xf numFmtId="0" fontId="63" fillId="9" borderId="11" xfId="33" applyFont="1" applyFill="1" applyBorder="1" applyAlignment="1">
      <alignment horizontal="center" vertical="center" wrapText="1"/>
    </xf>
    <xf numFmtId="0" fontId="44" fillId="9" borderId="0" xfId="0" applyFont="1" applyFill="1"/>
    <xf numFmtId="0" fontId="28" fillId="0" borderId="0" xfId="0" applyFont="1" applyAlignment="1">
      <alignment horizontal="center" vertical="center"/>
    </xf>
    <xf numFmtId="0" fontId="71" fillId="6" borderId="11" xfId="0" applyFont="1" applyFill="1" applyBorder="1" applyAlignment="1">
      <alignment horizontal="center" vertical="center" wrapText="1"/>
    </xf>
    <xf numFmtId="0" fontId="0" fillId="0" borderId="11" xfId="0" applyBorder="1"/>
    <xf numFmtId="0" fontId="72" fillId="6" borderId="13" xfId="0" applyFont="1" applyFill="1" applyBorder="1" applyAlignment="1">
      <alignment vertical="center" wrapText="1"/>
    </xf>
    <xf numFmtId="0" fontId="85" fillId="0" borderId="11" xfId="0" applyFont="1" applyBorder="1"/>
    <xf numFmtId="0" fontId="2" fillId="0" borderId="0" xfId="730" applyFont="1"/>
    <xf numFmtId="0" fontId="1" fillId="0" borderId="12" xfId="731" applyBorder="1" applyAlignment="1">
      <alignment horizontal="center" vertical="center"/>
    </xf>
    <xf numFmtId="0" fontId="1" fillId="0" borderId="0" xfId="731" applyAlignment="1">
      <alignment vertical="center"/>
    </xf>
    <xf numFmtId="0" fontId="84" fillId="0" borderId="12" xfId="731" applyFont="1" applyBorder="1" applyAlignment="1">
      <alignment vertical="center" wrapText="1"/>
    </xf>
    <xf numFmtId="0" fontId="84" fillId="0" borderId="12" xfId="731" applyFont="1" applyBorder="1" applyAlignment="1">
      <alignment horizontal="center" vertical="center" wrapText="1"/>
    </xf>
    <xf numFmtId="11" fontId="84" fillId="0" borderId="12" xfId="731" applyNumberFormat="1" applyFont="1" applyBorder="1" applyAlignment="1">
      <alignment horizontal="right" vertical="center"/>
    </xf>
    <xf numFmtId="49" fontId="84" fillId="0" borderId="12" xfId="731" applyNumberFormat="1" applyFont="1" applyBorder="1" applyAlignment="1">
      <alignment horizontal="right" vertical="center"/>
    </xf>
    <xf numFmtId="49" fontId="84" fillId="0" borderId="12" xfId="731" quotePrefix="1" applyNumberFormat="1" applyFont="1" applyBorder="1" applyAlignment="1">
      <alignment horizontal="right" vertical="center"/>
    </xf>
    <xf numFmtId="0" fontId="84" fillId="0" borderId="12" xfId="731" applyFont="1" applyFill="1" applyBorder="1" applyAlignment="1">
      <alignment vertical="center" wrapText="1"/>
    </xf>
    <xf numFmtId="0" fontId="84" fillId="0" borderId="12" xfId="731" applyFont="1" applyFill="1" applyBorder="1" applyAlignment="1">
      <alignment horizontal="center" vertical="center" wrapText="1"/>
    </xf>
    <xf numFmtId="11" fontId="84" fillId="0" borderId="12" xfId="731" applyNumberFormat="1" applyFont="1" applyFill="1" applyBorder="1" applyAlignment="1">
      <alignment horizontal="right" vertical="center"/>
    </xf>
    <xf numFmtId="0" fontId="1" fillId="0" borderId="0" xfId="731" applyFill="1" applyAlignment="1">
      <alignment vertical="center"/>
    </xf>
    <xf numFmtId="0" fontId="0" fillId="9" borderId="12" xfId="0" applyFill="1" applyBorder="1" applyAlignment="1">
      <alignment horizontal="center" vertical="center"/>
    </xf>
    <xf numFmtId="0" fontId="84" fillId="9" borderId="12" xfId="731" applyFont="1" applyFill="1" applyBorder="1" applyAlignment="1">
      <alignment horizontal="center" vertical="center" wrapText="1"/>
    </xf>
    <xf numFmtId="0" fontId="1" fillId="0" borderId="12" xfId="731" applyFont="1" applyBorder="1" applyAlignment="1">
      <alignment horizontal="center" vertical="center"/>
    </xf>
    <xf numFmtId="0" fontId="1" fillId="0" borderId="0" xfId="731" applyAlignment="1">
      <alignment vertical="center" wrapText="1"/>
    </xf>
    <xf numFmtId="0" fontId="1" fillId="0" borderId="0" xfId="731" applyAlignment="1">
      <alignment horizontal="center" vertical="center"/>
    </xf>
    <xf numFmtId="11" fontId="1" fillId="0" borderId="0" xfId="731" applyNumberFormat="1" applyAlignment="1">
      <alignment horizontal="right" vertical="center"/>
    </xf>
    <xf numFmtId="11" fontId="84" fillId="0" borderId="12" xfId="731" applyNumberFormat="1" applyFont="1" applyFill="1" applyBorder="1" applyAlignment="1">
      <alignment horizontal="center" vertical="center"/>
    </xf>
    <xf numFmtId="49" fontId="84" fillId="0" borderId="12" xfId="731" applyNumberFormat="1" applyFont="1" applyFill="1" applyBorder="1" applyAlignment="1">
      <alignment horizontal="center" vertical="center"/>
    </xf>
    <xf numFmtId="49" fontId="84" fillId="0" borderId="12" xfId="731" quotePrefix="1" applyNumberFormat="1" applyFont="1" applyFill="1" applyBorder="1" applyAlignment="1">
      <alignment horizontal="center" vertical="center"/>
    </xf>
    <xf numFmtId="11" fontId="1" fillId="0" borderId="0" xfId="731" applyNumberFormat="1" applyFill="1" applyAlignment="1">
      <alignment horizontal="center" vertical="center"/>
    </xf>
    <xf numFmtId="0" fontId="84" fillId="0" borderId="12" xfId="731" applyNumberFormat="1" applyFont="1" applyFill="1" applyBorder="1" applyAlignment="1">
      <alignment horizontal="center" vertical="center" wrapText="1"/>
    </xf>
    <xf numFmtId="0" fontId="1" fillId="0" borderId="0" xfId="731" applyFill="1" applyAlignment="1">
      <alignment horizontal="center" vertical="center" wrapText="1"/>
    </xf>
    <xf numFmtId="0" fontId="1" fillId="0" borderId="12" xfId="731" applyBorder="1" applyAlignment="1">
      <alignment vertical="center"/>
    </xf>
    <xf numFmtId="3" fontId="84" fillId="0" borderId="12" xfId="731" applyNumberFormat="1" applyFont="1" applyBorder="1" applyAlignment="1">
      <alignment vertical="center" wrapText="1"/>
    </xf>
    <xf numFmtId="0" fontId="86" fillId="6" borderId="12" xfId="0" applyFont="1" applyFill="1" applyBorder="1" applyAlignment="1">
      <alignment vertical="center" wrapText="1"/>
    </xf>
    <xf numFmtId="0" fontId="62" fillId="9" borderId="12" xfId="33" applyNumberFormat="1" applyFont="1" applyFill="1" applyBorder="1" applyAlignment="1">
      <alignment vertical="center" wrapText="1"/>
    </xf>
    <xf numFmtId="0" fontId="65" fillId="0" borderId="18" xfId="0" applyFont="1" applyFill="1" applyBorder="1" applyAlignment="1" applyProtection="1">
      <alignment horizontal="center" vertical="center" wrapText="1"/>
    </xf>
    <xf numFmtId="0" fontId="0" fillId="0" borderId="0" xfId="0" applyProtection="1"/>
    <xf numFmtId="3" fontId="67" fillId="0" borderId="11" xfId="0" applyNumberFormat="1" applyFont="1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 wrapText="1"/>
    </xf>
    <xf numFmtId="0" fontId="42" fillId="6" borderId="0" xfId="71" applyFont="1" applyFill="1" applyAlignment="1" applyProtection="1">
      <alignment horizontal="center" vertical="top" wrapText="1"/>
      <protection locked="0"/>
    </xf>
    <xf numFmtId="0" fontId="42" fillId="6" borderId="10" xfId="71" applyFont="1" applyFill="1" applyBorder="1" applyAlignment="1" applyProtection="1">
      <alignment horizontal="center" vertical="center"/>
      <protection locked="0"/>
    </xf>
    <xf numFmtId="0" fontId="42" fillId="6" borderId="11" xfId="71" applyFont="1" applyFill="1" applyBorder="1" applyAlignment="1" applyProtection="1">
      <alignment horizontal="center" vertical="center"/>
      <protection locked="0"/>
    </xf>
    <xf numFmtId="0" fontId="42" fillId="6" borderId="0" xfId="71" applyFont="1" applyFill="1" applyAlignment="1" applyProtection="1">
      <alignment horizontal="center" vertical="center"/>
    </xf>
    <xf numFmtId="0" fontId="42" fillId="6" borderId="0" xfId="71" applyFont="1" applyFill="1" applyAlignment="1" applyProtection="1">
      <alignment horizontal="center" vertical="center"/>
      <protection locked="0"/>
    </xf>
    <xf numFmtId="0" fontId="42" fillId="0" borderId="0" xfId="71" applyFont="1" applyFill="1" applyAlignment="1" applyProtection="1">
      <alignment horizontal="center" vertical="center"/>
      <protection locked="0"/>
    </xf>
    <xf numFmtId="0" fontId="41" fillId="0" borderId="0" xfId="71" applyFont="1" applyFill="1" applyAlignment="1" applyProtection="1">
      <alignment horizontal="center" vertical="center" wrapText="1"/>
    </xf>
    <xf numFmtId="0" fontId="42" fillId="6" borderId="10" xfId="71" applyFont="1" applyFill="1" applyBorder="1" applyAlignment="1" applyProtection="1">
      <alignment horizontal="center" vertical="center" wrapText="1"/>
      <protection locked="0"/>
    </xf>
    <xf numFmtId="0" fontId="42" fillId="6" borderId="11" xfId="71" applyFont="1" applyFill="1" applyBorder="1" applyAlignment="1" applyProtection="1">
      <alignment horizontal="center" vertical="center" wrapText="1"/>
      <protection locked="0"/>
    </xf>
    <xf numFmtId="0" fontId="28" fillId="6" borderId="0" xfId="71" applyFont="1" applyFill="1" applyAlignment="1" applyProtection="1">
      <alignment horizontal="center"/>
    </xf>
    <xf numFmtId="0" fontId="42" fillId="6" borderId="9" xfId="71" applyFont="1" applyFill="1" applyBorder="1" applyAlignment="1" applyProtection="1">
      <alignment horizontal="center" vertical="center"/>
      <protection locked="0"/>
    </xf>
    <xf numFmtId="0" fontId="42" fillId="6" borderId="9" xfId="71" applyFont="1" applyFill="1" applyBorder="1" applyAlignment="1" applyProtection="1">
      <alignment horizontal="center" vertical="center" wrapText="1"/>
      <protection locked="0"/>
    </xf>
    <xf numFmtId="0" fontId="42" fillId="0" borderId="10" xfId="71" applyFont="1" applyFill="1" applyBorder="1" applyAlignment="1" applyProtection="1">
      <alignment horizontal="center" vertical="center"/>
      <protection locked="0"/>
    </xf>
    <xf numFmtId="0" fontId="42" fillId="0" borderId="9" xfId="71" applyFont="1" applyFill="1" applyBorder="1" applyAlignment="1" applyProtection="1">
      <alignment horizontal="center" vertical="center"/>
      <protection locked="0"/>
    </xf>
    <xf numFmtId="0" fontId="42" fillId="0" borderId="11" xfId="71" applyFont="1" applyFill="1" applyBorder="1" applyAlignment="1" applyProtection="1">
      <alignment horizontal="center" vertical="center"/>
      <protection locked="0"/>
    </xf>
    <xf numFmtId="0" fontId="42" fillId="0" borderId="10" xfId="71" applyFont="1" applyFill="1" applyBorder="1" applyAlignment="1" applyProtection="1">
      <alignment horizontal="center" vertical="center" wrapText="1"/>
      <protection locked="0"/>
    </xf>
    <xf numFmtId="0" fontId="42" fillId="0" borderId="9" xfId="71" applyFont="1" applyFill="1" applyBorder="1" applyAlignment="1" applyProtection="1">
      <alignment horizontal="center" vertical="center" wrapText="1"/>
      <protection locked="0"/>
    </xf>
    <xf numFmtId="0" fontId="42" fillId="0" borderId="11" xfId="71" applyFont="1" applyFill="1" applyBorder="1" applyAlignment="1" applyProtection="1">
      <alignment horizontal="center" vertical="center" wrapText="1"/>
      <protection locked="0"/>
    </xf>
    <xf numFmtId="0" fontId="42" fillId="6" borderId="10" xfId="71" applyFont="1" applyFill="1" applyBorder="1" applyAlignment="1" applyProtection="1">
      <alignment horizontal="center" vertical="center" wrapText="1"/>
    </xf>
    <xf numFmtId="0" fontId="42" fillId="6" borderId="9" xfId="71" applyFont="1" applyFill="1" applyBorder="1" applyAlignment="1" applyProtection="1">
      <alignment horizontal="center" vertical="center" wrapText="1"/>
    </xf>
    <xf numFmtId="0" fontId="42" fillId="6" borderId="11" xfId="71" applyFont="1" applyFill="1" applyBorder="1" applyAlignment="1" applyProtection="1">
      <alignment horizontal="center" vertical="center" wrapText="1"/>
    </xf>
  </cellXfs>
  <cellStyles count="732">
    <cellStyle name="Bevitel 2" xfId="1"/>
    <cellStyle name="Ezres 2" xfId="2"/>
    <cellStyle name="Ezres 2 2" xfId="3"/>
    <cellStyle name="Ezres 2 2 2" xfId="4"/>
    <cellStyle name="Hivatkozás" xfId="37" builtinId="8"/>
    <cellStyle name="Hivatkozás 2" xfId="34"/>
    <cellStyle name="Hivatkozás 3" xfId="35"/>
    <cellStyle name="Magyarázó szöveg 2" xfId="5"/>
    <cellStyle name="Magyarázó szöveg 3" xfId="47"/>
    <cellStyle name="Normál" xfId="0" builtinId="0"/>
    <cellStyle name="Normál 10" xfId="6"/>
    <cellStyle name="Normál 11" xfId="7"/>
    <cellStyle name="Normál 11 2" xfId="62"/>
    <cellStyle name="Normál 12" xfId="39"/>
    <cellStyle name="Normál 12 2" xfId="48"/>
    <cellStyle name="Normál 12 2 2" xfId="74"/>
    <cellStyle name="Normál 12 2 2 2" xfId="100"/>
    <cellStyle name="Normál 12 2 2 2 2" xfId="101"/>
    <cellStyle name="Normál 12 2 2 2 2 2" xfId="221"/>
    <cellStyle name="Normál 12 2 2 2 2 2 2" xfId="562"/>
    <cellStyle name="Normál 12 2 2 2 2 3" xfId="445"/>
    <cellStyle name="Normál 12 2 2 2 3" xfId="222"/>
    <cellStyle name="Normál 12 2 2 2 3 2" xfId="563"/>
    <cellStyle name="Normál 12 2 2 2 4" xfId="444"/>
    <cellStyle name="Normál 12 2 2 3" xfId="102"/>
    <cellStyle name="Normál 12 2 2 3 2" xfId="103"/>
    <cellStyle name="Normál 12 2 2 3 2 2" xfId="223"/>
    <cellStyle name="Normál 12 2 2 3 2 2 2" xfId="564"/>
    <cellStyle name="Normál 12 2 2 3 2 3" xfId="447"/>
    <cellStyle name="Normál 12 2 2 3 3" xfId="224"/>
    <cellStyle name="Normál 12 2 2 3 3 2" xfId="565"/>
    <cellStyle name="Normál 12 2 2 3 4" xfId="446"/>
    <cellStyle name="Normál 12 2 2 4" xfId="104"/>
    <cellStyle name="Normál 12 2 2 4 2" xfId="225"/>
    <cellStyle name="Normál 12 2 2 4 2 2" xfId="566"/>
    <cellStyle name="Normál 12 2 2 4 3" xfId="448"/>
    <cellStyle name="Normál 12 2 2 5" xfId="105"/>
    <cellStyle name="Normál 12 2 2 5 2" xfId="226"/>
    <cellStyle name="Normál 12 2 2 5 2 2" xfId="567"/>
    <cellStyle name="Normál 12 2 2 5 3" xfId="449"/>
    <cellStyle name="Normál 12 2 2 6" xfId="218"/>
    <cellStyle name="Normál 12 2 2 6 2" xfId="559"/>
    <cellStyle name="Normál 12 2 2 7" xfId="219"/>
    <cellStyle name="Normál 12 2 2 7 2" xfId="560"/>
    <cellStyle name="Normál 12 2 2 8" xfId="418"/>
    <cellStyle name="Normál 12 2 3" xfId="88"/>
    <cellStyle name="Normál 12 2 3 2" xfId="106"/>
    <cellStyle name="Normál 12 2 3 2 2" xfId="227"/>
    <cellStyle name="Normál 12 2 3 2 2 2" xfId="568"/>
    <cellStyle name="Normál 12 2 3 2 3" xfId="450"/>
    <cellStyle name="Normál 12 2 3 3" xfId="228"/>
    <cellStyle name="Normál 12 2 3 3 2" xfId="569"/>
    <cellStyle name="Normál 12 2 3 4" xfId="432"/>
    <cellStyle name="Normál 12 2 4" xfId="107"/>
    <cellStyle name="Normál 12 2 4 2" xfId="108"/>
    <cellStyle name="Normál 12 2 4 2 2" xfId="229"/>
    <cellStyle name="Normál 12 2 4 2 2 2" xfId="570"/>
    <cellStyle name="Normál 12 2 4 2 3" xfId="452"/>
    <cellStyle name="Normál 12 2 4 3" xfId="230"/>
    <cellStyle name="Normál 12 2 4 3 2" xfId="571"/>
    <cellStyle name="Normál 12 2 4 4" xfId="451"/>
    <cellStyle name="Normál 12 2 5" xfId="109"/>
    <cellStyle name="Normál 12 2 5 2" xfId="231"/>
    <cellStyle name="Normál 12 2 5 2 2" xfId="572"/>
    <cellStyle name="Normál 12 2 5 3" xfId="453"/>
    <cellStyle name="Normál 12 2 6" xfId="232"/>
    <cellStyle name="Normál 12 2 6 2" xfId="573"/>
    <cellStyle name="Normál 12 2 7" xfId="405"/>
    <cellStyle name="Normál 12 3" xfId="71"/>
    <cellStyle name="Normál 12 4" xfId="81"/>
    <cellStyle name="Normál 12 4 2" xfId="110"/>
    <cellStyle name="Normál 12 4 2 2" xfId="233"/>
    <cellStyle name="Normál 12 4 2 2 2" xfId="574"/>
    <cellStyle name="Normál 12 4 2 3" xfId="454"/>
    <cellStyle name="Normál 12 4 3" xfId="234"/>
    <cellStyle name="Normál 12 4 3 2" xfId="575"/>
    <cellStyle name="Normál 12 4 4" xfId="425"/>
    <cellStyle name="Normál 12 5" xfId="111"/>
    <cellStyle name="Normál 12 5 2" xfId="112"/>
    <cellStyle name="Normál 12 5 2 2" xfId="235"/>
    <cellStyle name="Normál 12 5 2 2 2" xfId="576"/>
    <cellStyle name="Normál 12 5 2 3" xfId="456"/>
    <cellStyle name="Normál 12 5 3" xfId="236"/>
    <cellStyle name="Normál 12 5 3 2" xfId="577"/>
    <cellStyle name="Normál 12 5 4" xfId="455"/>
    <cellStyle name="Normál 12 6" xfId="113"/>
    <cellStyle name="Normál 12 6 2" xfId="237"/>
    <cellStyle name="Normál 12 6 2 2" xfId="578"/>
    <cellStyle name="Normál 12 6 3" xfId="457"/>
    <cellStyle name="Normál 12 7" xfId="238"/>
    <cellStyle name="Normál 12 7 2" xfId="579"/>
    <cellStyle name="Normál 12 8" xfId="398"/>
    <cellStyle name="Normál 13" xfId="46"/>
    <cellStyle name="Normál 14" xfId="72"/>
    <cellStyle name="Normál 15" xfId="73"/>
    <cellStyle name="Normál 15 2" xfId="114"/>
    <cellStyle name="Normál 15 2 2" xfId="115"/>
    <cellStyle name="Normál 15 2 2 2" xfId="239"/>
    <cellStyle name="Normál 15 2 2 2 2" xfId="580"/>
    <cellStyle name="Normál 15 2 2 3" xfId="459"/>
    <cellStyle name="Normál 15 2 3" xfId="240"/>
    <cellStyle name="Normál 15 2 3 2" xfId="581"/>
    <cellStyle name="Normál 15 2 4" xfId="458"/>
    <cellStyle name="Normál 15 3" xfId="116"/>
    <cellStyle name="Normál 15 3 2" xfId="117"/>
    <cellStyle name="Normál 15 3 2 2" xfId="241"/>
    <cellStyle name="Normál 15 3 2 2 2" xfId="582"/>
    <cellStyle name="Normál 15 3 2 3" xfId="461"/>
    <cellStyle name="Normál 15 3 3" xfId="242"/>
    <cellStyle name="Normál 15 3 3 2" xfId="583"/>
    <cellStyle name="Normál 15 3 4" xfId="460"/>
    <cellStyle name="Normál 15 4" xfId="118"/>
    <cellStyle name="Normál 15 4 2" xfId="243"/>
    <cellStyle name="Normál 15 4 2 2" xfId="584"/>
    <cellStyle name="Normál 15 4 3" xfId="462"/>
    <cellStyle name="Normál 15 5" xfId="244"/>
    <cellStyle name="Normál 15 5 2" xfId="585"/>
    <cellStyle name="Normál 15 6" xfId="417"/>
    <cellStyle name="Normál 16" xfId="119"/>
    <cellStyle name="Normál 17" xfId="120"/>
    <cellStyle name="Normál 17 2" xfId="121"/>
    <cellStyle name="Normál 17 2 2" xfId="245"/>
    <cellStyle name="Normál 17 2 2 2" xfId="586"/>
    <cellStyle name="Normál 17 2 3" xfId="464"/>
    <cellStyle name="Normál 17 3" xfId="246"/>
    <cellStyle name="Normál 17 3 2" xfId="587"/>
    <cellStyle name="Normál 17 4" xfId="463"/>
    <cellStyle name="Normál 18" xfId="122"/>
    <cellStyle name="Normál 18 2" xfId="247"/>
    <cellStyle name="Normál 18 2 2" xfId="588"/>
    <cellStyle name="Normál 18 3" xfId="465"/>
    <cellStyle name="Normál 19" xfId="217"/>
    <cellStyle name="Normál 19 2" xfId="558"/>
    <cellStyle name="Normal 2" xfId="123"/>
    <cellStyle name="Normál 2" xfId="8"/>
    <cellStyle name="Normál 2 10" xfId="124"/>
    <cellStyle name="Normál 2 10 2" xfId="248"/>
    <cellStyle name="Normál 2 10 2 2" xfId="589"/>
    <cellStyle name="Normál 2 10 3" xfId="466"/>
    <cellStyle name="Normál 2 11" xfId="249"/>
    <cellStyle name="Normál 2 11 2" xfId="590"/>
    <cellStyle name="Normál 2 12" xfId="389"/>
    <cellStyle name="Normál 2 2" xfId="9"/>
    <cellStyle name="Normál 2 2 2" xfId="41"/>
    <cellStyle name="Normál 2 2 2 2" xfId="49"/>
    <cellStyle name="Normál 2 2 2 2 2" xfId="89"/>
    <cellStyle name="Normál 2 2 2 2 2 2" xfId="125"/>
    <cellStyle name="Normál 2 2 2 2 2 2 2" xfId="250"/>
    <cellStyle name="Normál 2 2 2 2 2 2 2 2" xfId="591"/>
    <cellStyle name="Normál 2 2 2 2 2 2 3" xfId="467"/>
    <cellStyle name="Normál 2 2 2 2 2 3" xfId="251"/>
    <cellStyle name="Normál 2 2 2 2 2 3 2" xfId="592"/>
    <cellStyle name="Normál 2 2 2 2 2 4" xfId="433"/>
    <cellStyle name="Normál 2 2 2 2 3" xfId="126"/>
    <cellStyle name="Normál 2 2 2 2 3 2" xfId="127"/>
    <cellStyle name="Normál 2 2 2 2 3 2 2" xfId="252"/>
    <cellStyle name="Normál 2 2 2 2 3 2 2 2" xfId="593"/>
    <cellStyle name="Normál 2 2 2 2 3 2 3" xfId="469"/>
    <cellStyle name="Normál 2 2 2 2 3 3" xfId="253"/>
    <cellStyle name="Normál 2 2 2 2 3 3 2" xfId="594"/>
    <cellStyle name="Normál 2 2 2 2 3 4" xfId="468"/>
    <cellStyle name="Normál 2 2 2 2 4" xfId="128"/>
    <cellStyle name="Normál 2 2 2 2 4 2" xfId="254"/>
    <cellStyle name="Normál 2 2 2 2 4 2 2" xfId="595"/>
    <cellStyle name="Normál 2 2 2 2 4 3" xfId="470"/>
    <cellStyle name="Normál 2 2 2 2 5" xfId="255"/>
    <cellStyle name="Normál 2 2 2 2 5 2" xfId="596"/>
    <cellStyle name="Normál 2 2 2 2 6" xfId="406"/>
    <cellStyle name="Normál 2 2 2 3" xfId="83"/>
    <cellStyle name="Normál 2 2 2 3 2" xfId="129"/>
    <cellStyle name="Normál 2 2 2 3 2 2" xfId="256"/>
    <cellStyle name="Normál 2 2 2 3 2 2 2" xfId="597"/>
    <cellStyle name="Normál 2 2 2 3 2 3" xfId="471"/>
    <cellStyle name="Normál 2 2 2 3 3" xfId="257"/>
    <cellStyle name="Normál 2 2 2 3 3 2" xfId="598"/>
    <cellStyle name="Normál 2 2 2 3 4" xfId="427"/>
    <cellStyle name="Normál 2 2 2 4" xfId="130"/>
    <cellStyle name="Normál 2 2 2 4 2" xfId="131"/>
    <cellStyle name="Normál 2 2 2 4 2 2" xfId="258"/>
    <cellStyle name="Normál 2 2 2 4 2 2 2" xfId="599"/>
    <cellStyle name="Normál 2 2 2 4 2 3" xfId="473"/>
    <cellStyle name="Normál 2 2 2 4 3" xfId="259"/>
    <cellStyle name="Normál 2 2 2 4 3 2" xfId="600"/>
    <cellStyle name="Normál 2 2 2 4 4" xfId="472"/>
    <cellStyle name="Normál 2 2 2 5" xfId="132"/>
    <cellStyle name="Normál 2 2 2 5 2" xfId="260"/>
    <cellStyle name="Normál 2 2 2 5 2 2" xfId="601"/>
    <cellStyle name="Normál 2 2 2 5 3" xfId="474"/>
    <cellStyle name="Normál 2 2 2 6" xfId="261"/>
    <cellStyle name="Normál 2 2 2 6 2" xfId="602"/>
    <cellStyle name="Normál 2 2 2 7" xfId="400"/>
    <cellStyle name="Normál 2 2 3" xfId="76"/>
    <cellStyle name="Normál 2 2 3 2" xfId="133"/>
    <cellStyle name="Normál 2 2 3 2 2" xfId="262"/>
    <cellStyle name="Normál 2 2 3 2 2 2" xfId="603"/>
    <cellStyle name="Normál 2 2 3 2 3" xfId="475"/>
    <cellStyle name="Normál 2 2 3 3" xfId="263"/>
    <cellStyle name="Normál 2 2 3 3 2" xfId="604"/>
    <cellStyle name="Normál 2 2 3 4" xfId="420"/>
    <cellStyle name="Normál 2 2 4" xfId="134"/>
    <cellStyle name="Normál 2 2 4 2" xfId="135"/>
    <cellStyle name="Normál 2 2 4 2 2" xfId="264"/>
    <cellStyle name="Normál 2 2 4 2 2 2" xfId="605"/>
    <cellStyle name="Normál 2 2 4 2 3" xfId="477"/>
    <cellStyle name="Normál 2 2 4 3" xfId="265"/>
    <cellStyle name="Normál 2 2 4 3 2" xfId="606"/>
    <cellStyle name="Normál 2 2 4 4" xfId="476"/>
    <cellStyle name="Normál 2 2 5" xfId="136"/>
    <cellStyle name="Normál 2 2 5 2" xfId="266"/>
    <cellStyle name="Normál 2 2 5 2 2" xfId="607"/>
    <cellStyle name="Normál 2 2 5 3" xfId="478"/>
    <cellStyle name="Normál 2 2 6" xfId="267"/>
    <cellStyle name="Normál 2 2 6 2" xfId="608"/>
    <cellStyle name="Normál 2 2 7" xfId="390"/>
    <cellStyle name="Normál 2 3" xfId="10"/>
    <cellStyle name="Normál 2 3 2" xfId="42"/>
    <cellStyle name="Normál 2 3 2 2" xfId="50"/>
    <cellStyle name="Normál 2 3 2 2 2" xfId="90"/>
    <cellStyle name="Normál 2 3 2 2 2 2" xfId="137"/>
    <cellStyle name="Normál 2 3 2 2 2 2 2" xfId="268"/>
    <cellStyle name="Normál 2 3 2 2 2 2 2 2" xfId="609"/>
    <cellStyle name="Normál 2 3 2 2 2 2 3" xfId="479"/>
    <cellStyle name="Normál 2 3 2 2 2 3" xfId="269"/>
    <cellStyle name="Normál 2 3 2 2 2 3 2" xfId="610"/>
    <cellStyle name="Normál 2 3 2 2 2 4" xfId="434"/>
    <cellStyle name="Normál 2 3 2 2 3" xfId="138"/>
    <cellStyle name="Normál 2 3 2 2 3 2" xfId="139"/>
    <cellStyle name="Normál 2 3 2 2 3 2 2" xfId="270"/>
    <cellStyle name="Normál 2 3 2 2 3 2 2 2" xfId="611"/>
    <cellStyle name="Normál 2 3 2 2 3 2 3" xfId="481"/>
    <cellStyle name="Normál 2 3 2 2 3 3" xfId="271"/>
    <cellStyle name="Normál 2 3 2 2 3 3 2" xfId="612"/>
    <cellStyle name="Normál 2 3 2 2 3 4" xfId="480"/>
    <cellStyle name="Normál 2 3 2 2 4" xfId="140"/>
    <cellStyle name="Normál 2 3 2 2 4 2" xfId="272"/>
    <cellStyle name="Normál 2 3 2 2 4 2 2" xfId="613"/>
    <cellStyle name="Normál 2 3 2 2 4 3" xfId="482"/>
    <cellStyle name="Normál 2 3 2 2 5" xfId="273"/>
    <cellStyle name="Normál 2 3 2 2 5 2" xfId="614"/>
    <cellStyle name="Normál 2 3 2 2 6" xfId="407"/>
    <cellStyle name="Normál 2 3 2 3" xfId="84"/>
    <cellStyle name="Normál 2 3 2 3 2" xfId="141"/>
    <cellStyle name="Normál 2 3 2 3 2 2" xfId="274"/>
    <cellStyle name="Normál 2 3 2 3 2 2 2" xfId="615"/>
    <cellStyle name="Normál 2 3 2 3 2 3" xfId="483"/>
    <cellStyle name="Normál 2 3 2 3 3" xfId="275"/>
    <cellStyle name="Normál 2 3 2 3 3 2" xfId="616"/>
    <cellStyle name="Normál 2 3 2 3 4" xfId="428"/>
    <cellStyle name="Normál 2 3 2 4" xfId="142"/>
    <cellStyle name="Normál 2 3 2 4 2" xfId="143"/>
    <cellStyle name="Normál 2 3 2 4 2 2" xfId="276"/>
    <cellStyle name="Normál 2 3 2 4 2 2 2" xfId="617"/>
    <cellStyle name="Normál 2 3 2 4 2 3" xfId="485"/>
    <cellStyle name="Normál 2 3 2 4 3" xfId="277"/>
    <cellStyle name="Normál 2 3 2 4 3 2" xfId="618"/>
    <cellStyle name="Normál 2 3 2 4 4" xfId="484"/>
    <cellStyle name="Normál 2 3 2 5" xfId="144"/>
    <cellStyle name="Normál 2 3 2 5 2" xfId="278"/>
    <cellStyle name="Normál 2 3 2 5 2 2" xfId="619"/>
    <cellStyle name="Normál 2 3 2 5 3" xfId="486"/>
    <cellStyle name="Normál 2 3 2 6" xfId="279"/>
    <cellStyle name="Normál 2 3 2 6 2" xfId="620"/>
    <cellStyle name="Normál 2 3 2 7" xfId="401"/>
    <cellStyle name="Normál 2 3 3" xfId="51"/>
    <cellStyle name="Normál 2 3 3 2" xfId="91"/>
    <cellStyle name="Normál 2 3 3 2 2" xfId="145"/>
    <cellStyle name="Normál 2 3 3 2 2 2" xfId="280"/>
    <cellStyle name="Normál 2 3 3 2 2 2 2" xfId="621"/>
    <cellStyle name="Normál 2 3 3 2 2 3" xfId="487"/>
    <cellStyle name="Normál 2 3 3 2 3" xfId="281"/>
    <cellStyle name="Normál 2 3 3 2 3 2" xfId="622"/>
    <cellStyle name="Normál 2 3 3 2 4" xfId="435"/>
    <cellStyle name="Normál 2 3 3 3" xfId="146"/>
    <cellStyle name="Normál 2 3 3 3 2" xfId="147"/>
    <cellStyle name="Normál 2 3 3 3 2 2" xfId="282"/>
    <cellStyle name="Normál 2 3 3 3 2 2 2" xfId="623"/>
    <cellStyle name="Normál 2 3 3 3 2 3" xfId="489"/>
    <cellStyle name="Normál 2 3 3 3 3" xfId="283"/>
    <cellStyle name="Normál 2 3 3 3 3 2" xfId="624"/>
    <cellStyle name="Normál 2 3 3 3 4" xfId="488"/>
    <cellStyle name="Normál 2 3 3 4" xfId="148"/>
    <cellStyle name="Normál 2 3 3 4 2" xfId="284"/>
    <cellStyle name="Normál 2 3 3 4 2 2" xfId="625"/>
    <cellStyle name="Normál 2 3 3 4 3" xfId="490"/>
    <cellStyle name="Normál 2 3 3 5" xfId="285"/>
    <cellStyle name="Normál 2 3 3 5 2" xfId="626"/>
    <cellStyle name="Normál 2 3 3 6" xfId="408"/>
    <cellStyle name="Normál 2 3 4" xfId="77"/>
    <cellStyle name="Normál 2 3 4 2" xfId="149"/>
    <cellStyle name="Normál 2 3 4 2 2" xfId="286"/>
    <cellStyle name="Normál 2 3 4 2 2 2" xfId="627"/>
    <cellStyle name="Normál 2 3 4 2 3" xfId="491"/>
    <cellStyle name="Normál 2 3 4 3" xfId="287"/>
    <cellStyle name="Normál 2 3 4 3 2" xfId="628"/>
    <cellStyle name="Normál 2 3 4 4" xfId="421"/>
    <cellStyle name="Normál 2 3 5" xfId="150"/>
    <cellStyle name="Normál 2 3 5 2" xfId="151"/>
    <cellStyle name="Normál 2 3 5 2 2" xfId="288"/>
    <cellStyle name="Normál 2 3 5 2 2 2" xfId="629"/>
    <cellStyle name="Normál 2 3 5 2 3" xfId="493"/>
    <cellStyle name="Normál 2 3 5 3" xfId="289"/>
    <cellStyle name="Normál 2 3 5 3 2" xfId="630"/>
    <cellStyle name="Normál 2 3 5 4" xfId="492"/>
    <cellStyle name="Normál 2 3 6" xfId="152"/>
    <cellStyle name="Normál 2 3 6 2" xfId="290"/>
    <cellStyle name="Normál 2 3 6 2 2" xfId="631"/>
    <cellStyle name="Normál 2 3 6 3" xfId="494"/>
    <cellStyle name="Normál 2 3 7" xfId="291"/>
    <cellStyle name="Normál 2 3 7 2" xfId="632"/>
    <cellStyle name="Normál 2 3 8" xfId="391"/>
    <cellStyle name="Normál 2 4" xfId="11"/>
    <cellStyle name="Normál 2 5" xfId="40"/>
    <cellStyle name="Normál 2 5 2" xfId="52"/>
    <cellStyle name="Normál 2 5 2 2" xfId="92"/>
    <cellStyle name="Normál 2 5 2 2 2" xfId="153"/>
    <cellStyle name="Normál 2 5 2 2 2 2" xfId="292"/>
    <cellStyle name="Normál 2 5 2 2 2 2 2" xfId="633"/>
    <cellStyle name="Normál 2 5 2 2 2 3" xfId="495"/>
    <cellStyle name="Normál 2 5 2 2 3" xfId="293"/>
    <cellStyle name="Normál 2 5 2 2 3 2" xfId="634"/>
    <cellStyle name="Normál 2 5 2 2 4" xfId="436"/>
    <cellStyle name="Normál 2 5 2 3" xfId="154"/>
    <cellStyle name="Normál 2 5 2 3 2" xfId="155"/>
    <cellStyle name="Normál 2 5 2 3 2 2" xfId="294"/>
    <cellStyle name="Normál 2 5 2 3 2 2 2" xfId="635"/>
    <cellStyle name="Normál 2 5 2 3 2 3" xfId="497"/>
    <cellStyle name="Normál 2 5 2 3 3" xfId="295"/>
    <cellStyle name="Normál 2 5 2 3 3 2" xfId="636"/>
    <cellStyle name="Normál 2 5 2 3 4" xfId="496"/>
    <cellStyle name="Normál 2 5 2 4" xfId="156"/>
    <cellStyle name="Normál 2 5 2 4 2" xfId="296"/>
    <cellStyle name="Normál 2 5 2 4 2 2" xfId="637"/>
    <cellStyle name="Normál 2 5 2 4 3" xfId="498"/>
    <cellStyle name="Normál 2 5 2 5" xfId="297"/>
    <cellStyle name="Normál 2 5 2 5 2" xfId="638"/>
    <cellStyle name="Normál 2 5 2 6" xfId="409"/>
    <cellStyle name="Normál 2 5 3" xfId="82"/>
    <cellStyle name="Normál 2 5 3 2" xfId="157"/>
    <cellStyle name="Normál 2 5 3 2 2" xfId="298"/>
    <cellStyle name="Normál 2 5 3 2 2 2" xfId="639"/>
    <cellStyle name="Normál 2 5 3 2 3" xfId="499"/>
    <cellStyle name="Normál 2 5 3 3" xfId="299"/>
    <cellStyle name="Normál 2 5 3 3 2" xfId="640"/>
    <cellStyle name="Normál 2 5 3 4" xfId="426"/>
    <cellStyle name="Normál 2 5 4" xfId="158"/>
    <cellStyle name="Normál 2 5 4 2" xfId="159"/>
    <cellStyle name="Normál 2 5 4 2 2" xfId="300"/>
    <cellStyle name="Normál 2 5 4 2 2 2" xfId="641"/>
    <cellStyle name="Normál 2 5 4 2 3" xfId="501"/>
    <cellStyle name="Normál 2 5 4 3" xfId="301"/>
    <cellStyle name="Normál 2 5 4 3 2" xfId="642"/>
    <cellStyle name="Normál 2 5 4 4" xfId="500"/>
    <cellStyle name="Normál 2 5 5" xfId="160"/>
    <cellStyle name="Normál 2 5 5 2" xfId="302"/>
    <cellStyle name="Normál 2 5 5 2 2" xfId="643"/>
    <cellStyle name="Normál 2 5 5 3" xfId="502"/>
    <cellStyle name="Normál 2 5 6" xfId="303"/>
    <cellStyle name="Normál 2 5 6 2" xfId="644"/>
    <cellStyle name="Normál 2 5 7" xfId="399"/>
    <cellStyle name="Normál 2 6" xfId="53"/>
    <cellStyle name="Normál 2 6 2" xfId="93"/>
    <cellStyle name="Normál 2 6 2 2" xfId="161"/>
    <cellStyle name="Normál 2 6 2 2 2" xfId="304"/>
    <cellStyle name="Normál 2 6 2 2 2 2" xfId="645"/>
    <cellStyle name="Normál 2 6 2 2 3" xfId="503"/>
    <cellStyle name="Normál 2 6 2 3" xfId="305"/>
    <cellStyle name="Normál 2 6 2 3 2" xfId="646"/>
    <cellStyle name="Normál 2 6 2 4" xfId="437"/>
    <cellStyle name="Normál 2 6 3" xfId="162"/>
    <cellStyle name="Normál 2 6 3 2" xfId="163"/>
    <cellStyle name="Normál 2 6 3 2 2" xfId="306"/>
    <cellStyle name="Normál 2 6 3 2 2 2" xfId="647"/>
    <cellStyle name="Normál 2 6 3 2 3" xfId="505"/>
    <cellStyle name="Normál 2 6 3 3" xfId="307"/>
    <cellStyle name="Normál 2 6 3 3 2" xfId="648"/>
    <cellStyle name="Normál 2 6 3 4" xfId="504"/>
    <cellStyle name="Normál 2 6 4" xfId="164"/>
    <cellStyle name="Normál 2 6 4 2" xfId="308"/>
    <cellStyle name="Normál 2 6 4 2 2" xfId="649"/>
    <cellStyle name="Normál 2 6 4 3" xfId="506"/>
    <cellStyle name="Normál 2 6 5" xfId="309"/>
    <cellStyle name="Normál 2 6 5 2" xfId="650"/>
    <cellStyle name="Normál 2 6 6" xfId="410"/>
    <cellStyle name="Normál 2 7" xfId="60"/>
    <cellStyle name="Normál 2 8" xfId="75"/>
    <cellStyle name="Normál 2 8 2" xfId="165"/>
    <cellStyle name="Normál 2 8 2 2" xfId="310"/>
    <cellStyle name="Normál 2 8 2 2 2" xfId="651"/>
    <cellStyle name="Normál 2 8 2 3" xfId="507"/>
    <cellStyle name="Normál 2 8 3" xfId="311"/>
    <cellStyle name="Normál 2 8 3 2" xfId="652"/>
    <cellStyle name="Normál 2 8 4" xfId="419"/>
    <cellStyle name="Normál 2 9" xfId="166"/>
    <cellStyle name="Normál 2 9 2" xfId="167"/>
    <cellStyle name="Normál 2 9 2 2" xfId="312"/>
    <cellStyle name="Normál 2 9 2 2 2" xfId="653"/>
    <cellStyle name="Normál 2 9 2 3" xfId="509"/>
    <cellStyle name="Normál 2 9 3" xfId="313"/>
    <cellStyle name="Normál 2 9 3 2" xfId="654"/>
    <cellStyle name="Normál 2 9 4" xfId="508"/>
    <cellStyle name="Normál 20" xfId="220"/>
    <cellStyle name="Normál 20 2" xfId="561"/>
    <cellStyle name="Normál 21" xfId="388"/>
    <cellStyle name="Normál 22" xfId="729"/>
    <cellStyle name="Normál 23" xfId="730"/>
    <cellStyle name="Normál 23 2" xfId="731"/>
    <cellStyle name="Normal 3" xfId="168"/>
    <cellStyle name="Normál 3" xfId="12"/>
    <cellStyle name="Normál 3 2" xfId="13"/>
    <cellStyle name="Normál 3 3" xfId="14"/>
    <cellStyle name="Normál 3 3 2" xfId="15"/>
    <cellStyle name="Normál 3 3 2 2" xfId="64"/>
    <cellStyle name="Normál 3 3 3" xfId="63"/>
    <cellStyle name="Normál 3 4" xfId="38"/>
    <cellStyle name="Normal 4" xfId="727"/>
    <cellStyle name="Normál 4" xfId="16"/>
    <cellStyle name="Normál 4 2" xfId="17"/>
    <cellStyle name="Normál 4 2 2" xfId="18"/>
    <cellStyle name="Normál 4 2 2 2" xfId="66"/>
    <cellStyle name="Normál 4 2 3" xfId="65"/>
    <cellStyle name="Normál 4 3" xfId="19"/>
    <cellStyle name="Normál 4 4" xfId="32"/>
    <cellStyle name="Normal 5" xfId="728"/>
    <cellStyle name="Normál 5" xfId="20"/>
    <cellStyle name="Normál 5 2" xfId="36"/>
    <cellStyle name="Normál 5 2 2" xfId="45"/>
    <cellStyle name="Normál 5 2 2 2" xfId="54"/>
    <cellStyle name="Normál 5 2 2 2 2" xfId="94"/>
    <cellStyle name="Normál 5 2 2 2 2 2" xfId="169"/>
    <cellStyle name="Normál 5 2 2 2 2 2 2" xfId="314"/>
    <cellStyle name="Normál 5 2 2 2 2 2 2 2" xfId="655"/>
    <cellStyle name="Normál 5 2 2 2 2 2 3" xfId="510"/>
    <cellStyle name="Normál 5 2 2 2 2 3" xfId="315"/>
    <cellStyle name="Normál 5 2 2 2 2 3 2" xfId="656"/>
    <cellStyle name="Normál 5 2 2 2 2 4" xfId="438"/>
    <cellStyle name="Normál 5 2 2 2 3" xfId="170"/>
    <cellStyle name="Normál 5 2 2 2 3 2" xfId="171"/>
    <cellStyle name="Normál 5 2 2 2 3 2 2" xfId="316"/>
    <cellStyle name="Normál 5 2 2 2 3 2 2 2" xfId="657"/>
    <cellStyle name="Normál 5 2 2 2 3 2 3" xfId="512"/>
    <cellStyle name="Normál 5 2 2 2 3 3" xfId="317"/>
    <cellStyle name="Normál 5 2 2 2 3 3 2" xfId="658"/>
    <cellStyle name="Normál 5 2 2 2 3 4" xfId="511"/>
    <cellStyle name="Normál 5 2 2 2 4" xfId="172"/>
    <cellStyle name="Normál 5 2 2 2 4 2" xfId="318"/>
    <cellStyle name="Normál 5 2 2 2 4 2 2" xfId="659"/>
    <cellStyle name="Normál 5 2 2 2 4 3" xfId="513"/>
    <cellStyle name="Normál 5 2 2 2 5" xfId="319"/>
    <cellStyle name="Normál 5 2 2 2 5 2" xfId="660"/>
    <cellStyle name="Normál 5 2 2 2 6" xfId="411"/>
    <cellStyle name="Normál 5 2 2 3" xfId="87"/>
    <cellStyle name="Normál 5 2 2 3 2" xfId="173"/>
    <cellStyle name="Normál 5 2 2 3 2 2" xfId="320"/>
    <cellStyle name="Normál 5 2 2 3 2 2 2" xfId="661"/>
    <cellStyle name="Normál 5 2 2 3 2 3" xfId="514"/>
    <cellStyle name="Normál 5 2 2 3 3" xfId="321"/>
    <cellStyle name="Normál 5 2 2 3 3 2" xfId="662"/>
    <cellStyle name="Normál 5 2 2 3 4" xfId="431"/>
    <cellStyle name="Normál 5 2 2 4" xfId="174"/>
    <cellStyle name="Normál 5 2 2 4 2" xfId="175"/>
    <cellStyle name="Normál 5 2 2 4 2 2" xfId="322"/>
    <cellStyle name="Normál 5 2 2 4 2 2 2" xfId="663"/>
    <cellStyle name="Normál 5 2 2 4 2 3" xfId="516"/>
    <cellStyle name="Normál 5 2 2 4 3" xfId="323"/>
    <cellStyle name="Normál 5 2 2 4 3 2" xfId="664"/>
    <cellStyle name="Normál 5 2 2 4 4" xfId="515"/>
    <cellStyle name="Normál 5 2 2 5" xfId="176"/>
    <cellStyle name="Normál 5 2 2 5 2" xfId="324"/>
    <cellStyle name="Normál 5 2 2 5 2 2" xfId="665"/>
    <cellStyle name="Normál 5 2 2 5 3" xfId="517"/>
    <cellStyle name="Normál 5 2 2 6" xfId="325"/>
    <cellStyle name="Normál 5 2 2 6 2" xfId="666"/>
    <cellStyle name="Normál 5 2 2 7" xfId="404"/>
    <cellStyle name="Normál 5 2 3" xfId="55"/>
    <cellStyle name="Normál 5 2 3 2" xfId="95"/>
    <cellStyle name="Normál 5 2 3 2 2" xfId="177"/>
    <cellStyle name="Normál 5 2 3 2 2 2" xfId="326"/>
    <cellStyle name="Normál 5 2 3 2 2 2 2" xfId="667"/>
    <cellStyle name="Normál 5 2 3 2 2 3" xfId="518"/>
    <cellStyle name="Normál 5 2 3 2 3" xfId="327"/>
    <cellStyle name="Normál 5 2 3 2 3 2" xfId="668"/>
    <cellStyle name="Normál 5 2 3 2 4" xfId="439"/>
    <cellStyle name="Normál 5 2 3 3" xfId="178"/>
    <cellStyle name="Normál 5 2 3 3 2" xfId="179"/>
    <cellStyle name="Normál 5 2 3 3 2 2" xfId="328"/>
    <cellStyle name="Normál 5 2 3 3 2 2 2" xfId="669"/>
    <cellStyle name="Normál 5 2 3 3 2 3" xfId="520"/>
    <cellStyle name="Normál 5 2 3 3 3" xfId="329"/>
    <cellStyle name="Normál 5 2 3 3 3 2" xfId="670"/>
    <cellStyle name="Normál 5 2 3 3 4" xfId="519"/>
    <cellStyle name="Normál 5 2 3 4" xfId="180"/>
    <cellStyle name="Normál 5 2 3 4 2" xfId="330"/>
    <cellStyle name="Normál 5 2 3 4 2 2" xfId="671"/>
    <cellStyle name="Normál 5 2 3 4 3" xfId="521"/>
    <cellStyle name="Normál 5 2 3 5" xfId="331"/>
    <cellStyle name="Normál 5 2 3 5 2" xfId="672"/>
    <cellStyle name="Normál 5 2 3 6" xfId="412"/>
    <cellStyle name="Normál 5 2 4" xfId="80"/>
    <cellStyle name="Normál 5 2 4 2" xfId="181"/>
    <cellStyle name="Normál 5 2 4 2 2" xfId="332"/>
    <cellStyle name="Normál 5 2 4 2 2 2" xfId="673"/>
    <cellStyle name="Normál 5 2 4 2 3" xfId="522"/>
    <cellStyle name="Normál 5 2 4 3" xfId="333"/>
    <cellStyle name="Normál 5 2 4 3 2" xfId="674"/>
    <cellStyle name="Normál 5 2 4 4" xfId="424"/>
    <cellStyle name="Normál 5 2 5" xfId="182"/>
    <cellStyle name="Normál 5 2 5 2" xfId="183"/>
    <cellStyle name="Normál 5 2 5 2 2" xfId="334"/>
    <cellStyle name="Normál 5 2 5 2 2 2" xfId="675"/>
    <cellStyle name="Normál 5 2 5 2 3" xfId="524"/>
    <cellStyle name="Normál 5 2 5 3" xfId="335"/>
    <cellStyle name="Normál 5 2 5 3 2" xfId="676"/>
    <cellStyle name="Normál 5 2 5 4" xfId="523"/>
    <cellStyle name="Normál 5 2 6" xfId="184"/>
    <cellStyle name="Normál 5 2 6 2" xfId="336"/>
    <cellStyle name="Normál 5 2 6 2 2" xfId="677"/>
    <cellStyle name="Normál 5 2 6 3" xfId="525"/>
    <cellStyle name="Normál 5 2 7" xfId="337"/>
    <cellStyle name="Normál 5 2 7 2" xfId="678"/>
    <cellStyle name="Normál 5 2 8" xfId="397"/>
    <cellStyle name="Normál 5 3" xfId="338"/>
    <cellStyle name="Normál 6" xfId="21"/>
    <cellStyle name="Normál 6 2" xfId="22"/>
    <cellStyle name="Normál 6 2 2" xfId="68"/>
    <cellStyle name="Normál 6 3" xfId="61"/>
    <cellStyle name="Normál 6 4" xfId="67"/>
    <cellStyle name="Normál 7" xfId="23"/>
    <cellStyle name="Normál 7 2" xfId="24"/>
    <cellStyle name="Normál 7 2 2" xfId="70"/>
    <cellStyle name="Normál 7 3" xfId="69"/>
    <cellStyle name="Normál 8" xfId="25"/>
    <cellStyle name="Normál 8 2" xfId="43"/>
    <cellStyle name="Normál 8 2 2" xfId="56"/>
    <cellStyle name="Normál 8 2 2 2" xfId="96"/>
    <cellStyle name="Normál 8 2 2 2 2" xfId="185"/>
    <cellStyle name="Normál 8 2 2 2 2 2" xfId="339"/>
    <cellStyle name="Normál 8 2 2 2 2 2 2" xfId="679"/>
    <cellStyle name="Normál 8 2 2 2 2 3" xfId="526"/>
    <cellStyle name="Normál 8 2 2 2 3" xfId="340"/>
    <cellStyle name="Normál 8 2 2 2 3 2" xfId="680"/>
    <cellStyle name="Normál 8 2 2 2 4" xfId="440"/>
    <cellStyle name="Normál 8 2 2 3" xfId="186"/>
    <cellStyle name="Normál 8 2 2 3 2" xfId="187"/>
    <cellStyle name="Normál 8 2 2 3 2 2" xfId="341"/>
    <cellStyle name="Normál 8 2 2 3 2 2 2" xfId="681"/>
    <cellStyle name="Normál 8 2 2 3 2 3" xfId="528"/>
    <cellStyle name="Normál 8 2 2 3 3" xfId="342"/>
    <cellStyle name="Normál 8 2 2 3 3 2" xfId="682"/>
    <cellStyle name="Normál 8 2 2 3 4" xfId="527"/>
    <cellStyle name="Normál 8 2 2 4" xfId="188"/>
    <cellStyle name="Normál 8 2 2 4 2" xfId="343"/>
    <cellStyle name="Normál 8 2 2 4 2 2" xfId="683"/>
    <cellStyle name="Normál 8 2 2 4 3" xfId="529"/>
    <cellStyle name="Normál 8 2 2 5" xfId="344"/>
    <cellStyle name="Normál 8 2 2 5 2" xfId="684"/>
    <cellStyle name="Normál 8 2 2 6" xfId="413"/>
    <cellStyle name="Normál 8 2 3" xfId="85"/>
    <cellStyle name="Normál 8 2 3 2" xfId="189"/>
    <cellStyle name="Normál 8 2 3 2 2" xfId="345"/>
    <cellStyle name="Normál 8 2 3 2 2 2" xfId="685"/>
    <cellStyle name="Normál 8 2 3 2 3" xfId="530"/>
    <cellStyle name="Normál 8 2 3 3" xfId="346"/>
    <cellStyle name="Normál 8 2 3 3 2" xfId="686"/>
    <cellStyle name="Normál 8 2 3 4" xfId="429"/>
    <cellStyle name="Normál 8 2 4" xfId="190"/>
    <cellStyle name="Normál 8 2 4 2" xfId="191"/>
    <cellStyle name="Normál 8 2 4 2 2" xfId="347"/>
    <cellStyle name="Normál 8 2 4 2 2 2" xfId="687"/>
    <cellStyle name="Normál 8 2 4 2 3" xfId="532"/>
    <cellStyle name="Normál 8 2 4 3" xfId="348"/>
    <cellStyle name="Normál 8 2 4 3 2" xfId="688"/>
    <cellStyle name="Normál 8 2 4 4" xfId="531"/>
    <cellStyle name="Normál 8 2 5" xfId="192"/>
    <cellStyle name="Normál 8 2 5 2" xfId="349"/>
    <cellStyle name="Normál 8 2 5 2 2" xfId="689"/>
    <cellStyle name="Normál 8 2 5 3" xfId="533"/>
    <cellStyle name="Normál 8 2 6" xfId="350"/>
    <cellStyle name="Normál 8 2 6 2" xfId="690"/>
    <cellStyle name="Normál 8 2 7" xfId="402"/>
    <cellStyle name="Normál 8 3" xfId="57"/>
    <cellStyle name="Normál 8 3 2" xfId="97"/>
    <cellStyle name="Normál 8 3 2 2" xfId="193"/>
    <cellStyle name="Normál 8 3 2 2 2" xfId="351"/>
    <cellStyle name="Normál 8 3 2 2 2 2" xfId="691"/>
    <cellStyle name="Normál 8 3 2 2 3" xfId="534"/>
    <cellStyle name="Normál 8 3 2 3" xfId="352"/>
    <cellStyle name="Normál 8 3 2 3 2" xfId="692"/>
    <cellStyle name="Normál 8 3 2 4" xfId="441"/>
    <cellStyle name="Normál 8 3 3" xfId="194"/>
    <cellStyle name="Normál 8 3 3 2" xfId="195"/>
    <cellStyle name="Normál 8 3 3 2 2" xfId="353"/>
    <cellStyle name="Normál 8 3 3 2 2 2" xfId="693"/>
    <cellStyle name="Normál 8 3 3 2 3" xfId="536"/>
    <cellStyle name="Normál 8 3 3 3" xfId="354"/>
    <cellStyle name="Normál 8 3 3 3 2" xfId="694"/>
    <cellStyle name="Normál 8 3 3 4" xfId="535"/>
    <cellStyle name="Normál 8 3 4" xfId="196"/>
    <cellStyle name="Normál 8 3 4 2" xfId="355"/>
    <cellStyle name="Normál 8 3 4 2 2" xfId="695"/>
    <cellStyle name="Normál 8 3 4 3" xfId="537"/>
    <cellStyle name="Normál 8 3 5" xfId="356"/>
    <cellStyle name="Normál 8 3 5 2" xfId="696"/>
    <cellStyle name="Normál 8 3 6" xfId="414"/>
    <cellStyle name="Normál 8 4" xfId="78"/>
    <cellStyle name="Normál 8 4 2" xfId="197"/>
    <cellStyle name="Normál 8 4 2 2" xfId="357"/>
    <cellStyle name="Normál 8 4 2 2 2" xfId="697"/>
    <cellStyle name="Normál 8 4 2 3" xfId="538"/>
    <cellStyle name="Normál 8 4 3" xfId="358"/>
    <cellStyle name="Normál 8 4 3 2" xfId="698"/>
    <cellStyle name="Normál 8 4 4" xfId="422"/>
    <cellStyle name="Normál 8 5" xfId="198"/>
    <cellStyle name="Normál 8 5 2" xfId="199"/>
    <cellStyle name="Normál 8 5 2 2" xfId="359"/>
    <cellStyle name="Normál 8 5 2 2 2" xfId="699"/>
    <cellStyle name="Normál 8 5 2 3" xfId="540"/>
    <cellStyle name="Normál 8 5 3" xfId="360"/>
    <cellStyle name="Normál 8 5 3 2" xfId="700"/>
    <cellStyle name="Normál 8 5 4" xfId="539"/>
    <cellStyle name="Normál 8 6" xfId="200"/>
    <cellStyle name="Normál 8 6 2" xfId="361"/>
    <cellStyle name="Normál 8 6 2 2" xfId="701"/>
    <cellStyle name="Normál 8 6 3" xfId="541"/>
    <cellStyle name="Normál 8 7" xfId="362"/>
    <cellStyle name="Normál 8 7 2" xfId="702"/>
    <cellStyle name="Normál 8 8" xfId="392"/>
    <cellStyle name="Normál 9" xfId="26"/>
    <cellStyle name="Normál 9 2" xfId="44"/>
    <cellStyle name="Normál 9 2 2" xfId="58"/>
    <cellStyle name="Normál 9 2 2 2" xfId="98"/>
    <cellStyle name="Normál 9 2 2 2 2" xfId="201"/>
    <cellStyle name="Normál 9 2 2 2 2 2" xfId="363"/>
    <cellStyle name="Normál 9 2 2 2 2 2 2" xfId="703"/>
    <cellStyle name="Normál 9 2 2 2 2 3" xfId="542"/>
    <cellStyle name="Normál 9 2 2 2 3" xfId="364"/>
    <cellStyle name="Normál 9 2 2 2 3 2" xfId="704"/>
    <cellStyle name="Normál 9 2 2 2 4" xfId="442"/>
    <cellStyle name="Normál 9 2 2 3" xfId="202"/>
    <cellStyle name="Normál 9 2 2 3 2" xfId="203"/>
    <cellStyle name="Normál 9 2 2 3 2 2" xfId="365"/>
    <cellStyle name="Normál 9 2 2 3 2 2 2" xfId="705"/>
    <cellStyle name="Normál 9 2 2 3 2 3" xfId="544"/>
    <cellStyle name="Normál 9 2 2 3 3" xfId="366"/>
    <cellStyle name="Normál 9 2 2 3 3 2" xfId="706"/>
    <cellStyle name="Normál 9 2 2 3 4" xfId="543"/>
    <cellStyle name="Normál 9 2 2 4" xfId="204"/>
    <cellStyle name="Normál 9 2 2 4 2" xfId="367"/>
    <cellStyle name="Normál 9 2 2 4 2 2" xfId="707"/>
    <cellStyle name="Normál 9 2 2 4 3" xfId="545"/>
    <cellStyle name="Normál 9 2 2 5" xfId="368"/>
    <cellStyle name="Normál 9 2 2 5 2" xfId="708"/>
    <cellStyle name="Normál 9 2 2 6" xfId="415"/>
    <cellStyle name="Normál 9 2 3" xfId="86"/>
    <cellStyle name="Normál 9 2 3 2" xfId="205"/>
    <cellStyle name="Normál 9 2 3 2 2" xfId="369"/>
    <cellStyle name="Normál 9 2 3 2 2 2" xfId="709"/>
    <cellStyle name="Normál 9 2 3 2 3" xfId="546"/>
    <cellStyle name="Normál 9 2 3 3" xfId="370"/>
    <cellStyle name="Normál 9 2 3 3 2" xfId="710"/>
    <cellStyle name="Normál 9 2 3 4" xfId="430"/>
    <cellStyle name="Normál 9 2 4" xfId="206"/>
    <cellStyle name="Normál 9 2 4 2" xfId="207"/>
    <cellStyle name="Normál 9 2 4 2 2" xfId="371"/>
    <cellStyle name="Normál 9 2 4 2 2 2" xfId="711"/>
    <cellStyle name="Normál 9 2 4 2 3" xfId="548"/>
    <cellStyle name="Normál 9 2 4 3" xfId="372"/>
    <cellStyle name="Normál 9 2 4 3 2" xfId="712"/>
    <cellStyle name="Normál 9 2 4 4" xfId="547"/>
    <cellStyle name="Normál 9 2 5" xfId="208"/>
    <cellStyle name="Normál 9 2 5 2" xfId="373"/>
    <cellStyle name="Normál 9 2 5 2 2" xfId="713"/>
    <cellStyle name="Normál 9 2 5 3" xfId="549"/>
    <cellStyle name="Normál 9 2 6" xfId="374"/>
    <cellStyle name="Normál 9 2 6 2" xfId="714"/>
    <cellStyle name="Normál 9 2 7" xfId="403"/>
    <cellStyle name="Normál 9 3" xfId="59"/>
    <cellStyle name="Normál 9 3 2" xfId="99"/>
    <cellStyle name="Normál 9 3 2 2" xfId="209"/>
    <cellStyle name="Normál 9 3 2 2 2" xfId="375"/>
    <cellStyle name="Normál 9 3 2 2 2 2" xfId="715"/>
    <cellStyle name="Normál 9 3 2 2 3" xfId="550"/>
    <cellStyle name="Normál 9 3 2 3" xfId="376"/>
    <cellStyle name="Normál 9 3 2 3 2" xfId="716"/>
    <cellStyle name="Normál 9 3 2 4" xfId="443"/>
    <cellStyle name="Normál 9 3 3" xfId="210"/>
    <cellStyle name="Normál 9 3 3 2" xfId="211"/>
    <cellStyle name="Normál 9 3 3 2 2" xfId="377"/>
    <cellStyle name="Normál 9 3 3 2 2 2" xfId="717"/>
    <cellStyle name="Normál 9 3 3 2 3" xfId="552"/>
    <cellStyle name="Normál 9 3 3 3" xfId="378"/>
    <cellStyle name="Normál 9 3 3 3 2" xfId="718"/>
    <cellStyle name="Normál 9 3 3 4" xfId="551"/>
    <cellStyle name="Normál 9 3 4" xfId="212"/>
    <cellStyle name="Normál 9 3 4 2" xfId="379"/>
    <cellStyle name="Normál 9 3 4 2 2" xfId="719"/>
    <cellStyle name="Normál 9 3 4 3" xfId="553"/>
    <cellStyle name="Normál 9 3 5" xfId="380"/>
    <cellStyle name="Normál 9 3 5 2" xfId="720"/>
    <cellStyle name="Normál 9 3 6" xfId="416"/>
    <cellStyle name="Normál 9 4" xfId="79"/>
    <cellStyle name="Normál 9 4 2" xfId="213"/>
    <cellStyle name="Normál 9 4 2 2" xfId="381"/>
    <cellStyle name="Normál 9 4 2 2 2" xfId="721"/>
    <cellStyle name="Normál 9 4 2 3" xfId="554"/>
    <cellStyle name="Normál 9 4 3" xfId="382"/>
    <cellStyle name="Normál 9 4 3 2" xfId="722"/>
    <cellStyle name="Normál 9 4 4" xfId="423"/>
    <cellStyle name="Normál 9 5" xfId="214"/>
    <cellStyle name="Normál 9 5 2" xfId="215"/>
    <cellStyle name="Normál 9 5 2 2" xfId="383"/>
    <cellStyle name="Normál 9 5 2 2 2" xfId="723"/>
    <cellStyle name="Normál 9 5 2 3" xfId="556"/>
    <cellStyle name="Normál 9 5 3" xfId="384"/>
    <cellStyle name="Normál 9 5 3 2" xfId="724"/>
    <cellStyle name="Normál 9 5 4" xfId="555"/>
    <cellStyle name="Normál 9 6" xfId="216"/>
    <cellStyle name="Normál 9 6 2" xfId="385"/>
    <cellStyle name="Normál 9 6 2 2" xfId="725"/>
    <cellStyle name="Normál 9 6 3" xfId="557"/>
    <cellStyle name="Normál 9 7" xfId="386"/>
    <cellStyle name="Normál 9 7 2" xfId="726"/>
    <cellStyle name="Normál 9 8" xfId="387"/>
    <cellStyle name="Normál 9 9" xfId="393"/>
    <cellStyle name="Normál_Munka1" xfId="33"/>
    <cellStyle name="Pénznem 2" xfId="27"/>
    <cellStyle name="Pénznem 2 2" xfId="28"/>
    <cellStyle name="Pénznem 2 2 2" xfId="29"/>
    <cellStyle name="Pénznem 2 2 2 2" xfId="396"/>
    <cellStyle name="Pénznem 2 2 3" xfId="395"/>
    <cellStyle name="Pénznem 2 3" xfId="394"/>
    <cellStyle name="Rossz 2" xfId="30"/>
    <cellStyle name="Semleges 2" xfId="31"/>
  </cellStyles>
  <dxfs count="394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theme="0"/>
      </font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right style="thin">
          <color auto="1"/>
        </right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right style="thin">
          <color auto="1"/>
        </right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/>
        <vertical/>
        <horizontal/>
      </border>
    </dxf>
    <dxf>
      <border outline="0">
        <top style="thin">
          <color theme="4" tint="0.39997558519241921"/>
        </top>
      </border>
    </dxf>
    <dxf>
      <border outline="0">
        <top style="thin">
          <color theme="6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00"/>
        </patternFill>
      </fill>
    </dxf>
    <dxf>
      <border outline="0">
        <bottom style="thin">
          <color theme="6" tint="0.39997558519241921"/>
        </bottom>
      </border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/>
        <vertical/>
        <horizontal/>
      </border>
    </dxf>
    <dxf>
      <border outline="0">
        <top style="thin">
          <color theme="4" tint="0.39997558519241921"/>
        </top>
      </border>
    </dxf>
    <dxf>
      <border outline="0">
        <top style="thin">
          <color theme="6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00"/>
        </patternFill>
      </fill>
    </dxf>
    <dxf>
      <border outline="0">
        <bottom style="thin">
          <color theme="6" tint="0.39997558519241921"/>
        </bottom>
      </border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border outline="0"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general" vertical="center" textRotation="0" wrapText="0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general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general" vertical="center" textRotation="0" wrapText="0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general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general" vertical="center" textRotation="0" wrapText="0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general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general" vertical="center" textRotation="0" wrapText="0" indent="0" justifyLastLine="0" shrinkToFit="0" readingOrder="0"/>
    </dxf>
    <dxf>
      <border outline="0"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indexed="64"/>
          <bgColor rgb="FFFF0000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indexed="64"/>
          <bgColor rgb="FFFF0000"/>
        </patternFill>
      </fill>
      <alignment horizontal="general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/>
        <right/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8"/>
          <bgColor theme="8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 patternType="lightTrellis"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theme="0"/>
      </font>
    </dxf>
    <dxf>
      <fill>
        <patternFill>
          <bgColor rgb="FFFFFF00"/>
        </patternFill>
      </fill>
    </dxf>
    <dxf>
      <font>
        <color theme="0"/>
      </font>
    </dxf>
    <dxf>
      <fill>
        <patternFill>
          <bgColor rgb="FFFFFF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id="22" name="Képzés_kezdete" displayName="Képzés_kezdete" ref="J1:J10" totalsRowShown="0" headerRowDxfId="356">
  <autoFilter ref="J1:J10"/>
  <tableColumns count="1">
    <tableColumn id="1" name="Képzés_kezdete"/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id="28" name="Egyéb_képzés_típusa" displayName="Egyéb_képzés_típusa" ref="X1:X5" totalsRowShown="0" headerRowDxfId="355">
  <autoFilter ref="X1:X5"/>
  <tableColumns count="1">
    <tableColumn id="1" name="Egyéb_képzés_típusa"/>
  </tableColumns>
  <tableStyleInfo name="TableStyleMedium14" showFirstColumn="0" showLastColumn="0" showRowStripes="1" showColumnStripes="0"/>
</table>
</file>

<file path=xl/tables/table3.xml><?xml version="1.0" encoding="utf-8"?>
<table xmlns="http://schemas.openxmlformats.org/spreadsheetml/2006/main" id="30" name="Egyéb_képzés_kezdete" displayName="Egyéb_képzés_kezdete" ref="Z1:Z7" totalsRowShown="0" headerRowDxfId="354">
  <autoFilter ref="Z1:Z7"/>
  <tableColumns count="1">
    <tableColumn id="1" name="Egyéb_képzés_kezdete"/>
  </tableColumns>
  <tableStyleInfo name="TableStyleMedium14" showFirstColumn="0" showLastColumn="0" showRowStripes="1" showColumnStripes="0"/>
</table>
</file>

<file path=xl/tables/table4.xml><?xml version="1.0" encoding="utf-8"?>
<table xmlns="http://schemas.openxmlformats.org/spreadsheetml/2006/main" id="128" name="Bajai_SZC" displayName="Bajai_SZC" ref="H71:H76" totalsRowShown="0" headerRowDxfId="353" dataDxfId="351" headerRowBorderDxfId="352" tableBorderDxfId="350" totalsRowBorderDxfId="349" dataCellStyle="Normál 20">
  <autoFilter ref="H71:H76"/>
  <tableColumns count="1">
    <tableColumn id="1" name="Bajai_SZC" dataDxfId="348" dataCellStyle="Normál 20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129" name="Békéscsabai_SZC" displayName="Békéscsabai_SZC" ref="H78:H86" totalsRowShown="0" headerRowDxfId="347" dataDxfId="345" headerRowBorderDxfId="346" tableBorderDxfId="344" totalsRowBorderDxfId="343" dataCellStyle="Normál 20">
  <autoFilter ref="H78:H86"/>
  <tableColumns count="1">
    <tableColumn id="1" name="Békéscsabai_SZC" dataDxfId="342" dataCellStyle="Normál 20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130" name="Berettyóújfalui_SZC" displayName="Berettyóújfalui_SZC" ref="H87:H99" totalsRowShown="0" headerRowDxfId="341" dataDxfId="339" headerRowBorderDxfId="340" tableBorderDxfId="338" totalsRowBorderDxfId="337" dataCellStyle="Normál 20">
  <autoFilter ref="H87:H99"/>
  <tableColumns count="1">
    <tableColumn id="1" name="Berettyóújfalui_SZC" dataDxfId="336" dataCellStyle="Normál 20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131" name="Budapesti_Gazdasági_SZC" displayName="Budapesti_Gazdasági_SZC" ref="H100:H122" totalsRowShown="0" headerRowDxfId="335" dataDxfId="333" headerRowBorderDxfId="334" tableBorderDxfId="332" totalsRowBorderDxfId="331" dataCellStyle="Normál 20">
  <autoFilter ref="H100:H122"/>
  <tableColumns count="1">
    <tableColumn id="1" name="Budapesti_Gazdasági_SZC" dataDxfId="330" dataCellStyle="Normál 20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132" name="Budapesti_Gépészeti_SZC" displayName="Budapesti_Gépészeti_SZC" ref="H123:H136" totalsRowShown="0" headerRowDxfId="329" dataDxfId="327" headerRowBorderDxfId="328" tableBorderDxfId="326" totalsRowBorderDxfId="325" dataCellStyle="Normál 20">
  <autoFilter ref="H123:H136"/>
  <tableColumns count="1">
    <tableColumn id="1" name="Budapesti_Gépészeti_SZC" dataDxfId="324" dataCellStyle="Normál 20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33" name="Budapesti_Komplex_SZC" displayName="Budapesti_Komplex_SZC" ref="H137:H150" totalsRowShown="0" headerRowDxfId="323" dataDxfId="321" headerRowBorderDxfId="322" tableBorderDxfId="320" totalsRowBorderDxfId="319" dataCellStyle="Normál 20">
  <autoFilter ref="H137:H150"/>
  <tableColumns count="1">
    <tableColumn id="1" name="Budapesti_Komplex_SZC" dataDxfId="318" dataCellStyle="Normál 20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34" name="Budapesti_Műszaki_SZC" displayName="Budapesti_Műszaki_SZC" ref="H151:H163" totalsRowShown="0" headerRowDxfId="317" dataDxfId="315" headerRowBorderDxfId="316" tableBorderDxfId="314" totalsRowBorderDxfId="313" dataCellStyle="Normál 20">
  <autoFilter ref="H151:H163"/>
  <tableColumns count="1">
    <tableColumn id="1" name="Budapesti_Műszaki_SZC" dataDxfId="312" dataCellStyle="Normál 20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id="135" name="Ceglédi_SZC" displayName="Ceglédi_SZC" ref="H164:H170" totalsRowShown="0" headerRowDxfId="311" dataDxfId="309" headerRowBorderDxfId="310" tableBorderDxfId="308" totalsRowBorderDxfId="307" dataCellStyle="Normál 20">
  <autoFilter ref="H164:H170"/>
  <tableColumns count="1">
    <tableColumn id="1" name="Ceglédi_SZC" dataDxfId="306" dataCellStyle="Normál 20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id="136" name="Debreceni_SZC" displayName="Debreceni_SZC" ref="H171:H182" totalsRowShown="0" headerRowDxfId="305" dataDxfId="303" headerRowBorderDxfId="304" tableBorderDxfId="302" totalsRowBorderDxfId="301" dataCellStyle="Normál 20">
  <autoFilter ref="H171:H182"/>
  <tableColumns count="1">
    <tableColumn id="1" name="Debreceni_SZC" dataDxfId="300" dataCellStyle="Normál 20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id="137" name="Dunaújvárosi_SZC" displayName="Dunaújvárosi_SZC" ref="H183:H189" totalsRowShown="0" headerRowDxfId="299" dataDxfId="297" headerRowBorderDxfId="298" tableBorderDxfId="296" totalsRowBorderDxfId="295" dataCellStyle="Normál 20">
  <autoFilter ref="H183:H189"/>
  <tableColumns count="1">
    <tableColumn id="1" name="Dunaújvárosi_SZC" dataDxfId="294" dataCellStyle="Normál 20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id="138" name="Heves_Megyei_SZC" displayName="Heves_Megyei_SZC" ref="H190:H198" totalsRowShown="0" headerRowDxfId="293" dataDxfId="291" headerRowBorderDxfId="292" tableBorderDxfId="290" totalsRowBorderDxfId="289" dataCellStyle="Normál 20">
  <autoFilter ref="H190:H198"/>
  <tableColumns count="1">
    <tableColumn id="1" name="Heves_Megyei_SZC" dataDxfId="288" dataCellStyle="Normál 20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id="139" name="Érdi_SZC" displayName="Érdi_SZC" ref="H199:H205" totalsRowShown="0" headerRowDxfId="287" dataDxfId="285" headerRowBorderDxfId="286" tableBorderDxfId="284" totalsRowBorderDxfId="283" dataCellStyle="Normál 20">
  <autoFilter ref="H199:H205"/>
  <tableColumns count="1">
    <tableColumn id="1" name="Érdi_SZC" dataDxfId="282" dataCellStyle="Normál 20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id="140" name="Győri_SZC" displayName="Győri_SZC" ref="H206:H225" totalsRowShown="0" headerRowDxfId="281" dataDxfId="279" headerRowBorderDxfId="280" tableBorderDxfId="278" totalsRowBorderDxfId="277" dataCellStyle="Normál 20">
  <autoFilter ref="H206:H225"/>
  <tableColumns count="1">
    <tableColumn id="1" name="Győri_SZC" dataDxfId="276" dataCellStyle="Normál 20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id="141" name="Gyulai_SZC" displayName="Gyulai_SZC" ref="H226:H232" totalsRowShown="0" headerRowDxfId="275" dataDxfId="273" headerRowBorderDxfId="274" tableBorderDxfId="272" totalsRowBorderDxfId="271" dataCellStyle="Normál 20">
  <autoFilter ref="H226:H232"/>
  <tableColumns count="1">
    <tableColumn id="1" name="Gyulai_SZC" dataDxfId="270" dataCellStyle="Normál 20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id="142" name="Hódmezővásárhelyi_SZC" displayName="Hódmezővásárhelyi_SZC" ref="H233:H241" totalsRowShown="0" headerRowDxfId="269" dataDxfId="267" headerRowBorderDxfId="268" tableBorderDxfId="266" totalsRowBorderDxfId="265" dataCellStyle="Normál 20">
  <autoFilter ref="H233:H241"/>
  <tableColumns count="1">
    <tableColumn id="1" name="Hódmezővásárhelyi_SZC" dataDxfId="264" dataCellStyle="Normál 20"/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id="143" name="Kaposvári_SZC" displayName="Kaposvári_SZC" ref="H242:H252" totalsRowShown="0" headerRowDxfId="263" dataDxfId="261" headerRowBorderDxfId="262" tableBorderDxfId="260" totalsRowBorderDxfId="259" dataCellStyle="Normál 20">
  <autoFilter ref="H242:H252"/>
  <tableColumns count="1">
    <tableColumn id="1" name="Kaposvári_SZC" dataDxfId="258" dataCellStyle="Normál 20"/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id="144" name="Karcagi_SZC" displayName="Karcagi_SZC" ref="H254:H262" totalsRowShown="0" headerRowDxfId="257" dataDxfId="255" headerRowBorderDxfId="256" tableBorderDxfId="254" totalsRowBorderDxfId="253" dataCellStyle="Normál 20">
  <autoFilter ref="H254:H262"/>
  <tableColumns count="1">
    <tableColumn id="1" name="Karcagi_SZC" dataDxfId="252" dataCellStyle="Normál 20"/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id="145" name="Kecskeméti_SZC" displayName="Kecskeméti_SZC" ref="H263:H272" totalsRowShown="0" headerRowDxfId="251" dataDxfId="249" headerRowBorderDxfId="250" tableBorderDxfId="248" totalsRowBorderDxfId="247" dataCellStyle="Normál 20">
  <autoFilter ref="H263:H272"/>
  <tableColumns count="1">
    <tableColumn id="1" name="Kecskeméti_SZC" dataDxfId="246" dataCellStyle="Normál 20"/>
  </tableColumns>
  <tableStyleInfo name="TableStyleMedium2" showFirstColumn="0" showLastColumn="0" showRowStripes="1" showColumnStripes="0"/>
</table>
</file>

<file path=xl/tables/table22.xml><?xml version="1.0" encoding="utf-8"?>
<table xmlns="http://schemas.openxmlformats.org/spreadsheetml/2006/main" id="146" name="Kiskunhalasi_SZC" displayName="Kiskunhalasi_SZC" ref="H274:H279" totalsRowShown="0" headerRowDxfId="245" dataDxfId="243" headerRowBorderDxfId="244" tableBorderDxfId="242" totalsRowBorderDxfId="241" dataCellStyle="Normál 20">
  <autoFilter ref="H274:H279"/>
  <tableColumns count="1">
    <tableColumn id="1" name="Kiskunhalasi_SZC" dataDxfId="240" dataCellStyle="Normál 20"/>
  </tableColumns>
  <tableStyleInfo name="TableStyleMedium2" showFirstColumn="0" showLastColumn="0" showRowStripes="1" showColumnStripes="0"/>
</table>
</file>

<file path=xl/tables/table23.xml><?xml version="1.0" encoding="utf-8"?>
<table xmlns="http://schemas.openxmlformats.org/spreadsheetml/2006/main" id="147" name="Kisvárdai_SZC" displayName="Kisvárdai_SZC" ref="H280:H285" totalsRowShown="0" headerRowDxfId="239" dataDxfId="237" headerRowBorderDxfId="238" tableBorderDxfId="236" totalsRowBorderDxfId="235" dataCellStyle="Normál 20">
  <autoFilter ref="H280:H285"/>
  <tableColumns count="1">
    <tableColumn id="1" name="Kisvárdai_SZC" dataDxfId="234" dataCellStyle="Normál 20"/>
  </tableColumns>
  <tableStyleInfo name="TableStyleMedium2" showFirstColumn="0" showLastColumn="0" showRowStripes="1" showColumnStripes="0"/>
</table>
</file>

<file path=xl/tables/table24.xml><?xml version="1.0" encoding="utf-8"?>
<table xmlns="http://schemas.openxmlformats.org/spreadsheetml/2006/main" id="148" name="Mátészalkai_SZC" displayName="Mátészalkai_SZC" ref="H286:H291" totalsRowShown="0" headerRowDxfId="233" dataDxfId="231" headerRowBorderDxfId="232" tableBorderDxfId="230" totalsRowBorderDxfId="229" dataCellStyle="Normál 20">
  <autoFilter ref="H286:H291"/>
  <tableColumns count="1">
    <tableColumn id="1" name="Mátészalkai_SZC" dataDxfId="228" dataCellStyle="Normál 20"/>
  </tableColumns>
  <tableStyleInfo name="TableStyleMedium2" showFirstColumn="0" showLastColumn="0" showRowStripes="1" showColumnStripes="0"/>
</table>
</file>

<file path=xl/tables/table25.xml><?xml version="1.0" encoding="utf-8"?>
<table xmlns="http://schemas.openxmlformats.org/spreadsheetml/2006/main" id="149" name="Miskolci_SZC" displayName="Miskolci_SZC" ref="H292:H302" totalsRowShown="0" headerRowDxfId="227" dataDxfId="225" headerRowBorderDxfId="226" tableBorderDxfId="224" totalsRowBorderDxfId="223" dataCellStyle="Normál 20">
  <autoFilter ref="H292:H302"/>
  <tableColumns count="1">
    <tableColumn id="1" name="Miskolci_SZC" dataDxfId="222" dataCellStyle="Normál 20"/>
  </tableColumns>
  <tableStyleInfo name="TableStyleMedium2" showFirstColumn="0" showLastColumn="0" showRowStripes="1" showColumnStripes="0"/>
</table>
</file>

<file path=xl/tables/table26.xml><?xml version="1.0" encoding="utf-8"?>
<table xmlns="http://schemas.openxmlformats.org/spreadsheetml/2006/main" id="150" name="Nagykanizsai_SZC" displayName="Nagykanizsai_SZC" ref="H303:H306" totalsRowShown="0" headerRowDxfId="221" dataDxfId="219" headerRowBorderDxfId="220" tableBorderDxfId="218" totalsRowBorderDxfId="217" dataCellStyle="Normál 20">
  <autoFilter ref="H303:H306"/>
  <tableColumns count="1">
    <tableColumn id="1" name="Nagykanizsai_SZC" dataDxfId="216" dataCellStyle="Normál 20"/>
  </tableColumns>
  <tableStyleInfo name="TableStyleMedium2" showFirstColumn="0" showLastColumn="0" showRowStripes="1" showColumnStripes="0"/>
</table>
</file>

<file path=xl/tables/table27.xml><?xml version="1.0" encoding="utf-8"?>
<table xmlns="http://schemas.openxmlformats.org/spreadsheetml/2006/main" id="151" name="Nyíregyházi_SZC" displayName="Nyíregyházi_SZC" ref="H307:H317" totalsRowShown="0" headerRowDxfId="215" dataDxfId="213" headerRowBorderDxfId="214" tableBorderDxfId="212" totalsRowBorderDxfId="211" dataCellStyle="Normál 20">
  <autoFilter ref="H307:H317"/>
  <tableColumns count="1">
    <tableColumn id="1" name="Nyíregyházi_SZC" dataDxfId="210" dataCellStyle="Normál 20"/>
  </tableColumns>
  <tableStyleInfo name="TableStyleMedium2" showFirstColumn="0" showLastColumn="0" showRowStripes="1" showColumnStripes="0"/>
</table>
</file>

<file path=xl/tables/table28.xml><?xml version="1.0" encoding="utf-8"?>
<table xmlns="http://schemas.openxmlformats.org/spreadsheetml/2006/main" id="152" name="Ózdi_SZC" displayName="Ózdi_SZC" ref="H318:H323" totalsRowShown="0" headerRowDxfId="209" dataDxfId="207" headerRowBorderDxfId="208" tableBorderDxfId="206" totalsRowBorderDxfId="205" dataCellStyle="Normál 20">
  <autoFilter ref="H318:H323"/>
  <tableColumns count="1">
    <tableColumn id="1" name="Ózdi_SZC" dataDxfId="204" dataCellStyle="Normál 20"/>
  </tableColumns>
  <tableStyleInfo name="TableStyleMedium2" showFirstColumn="0" showLastColumn="0" showRowStripes="1" showColumnStripes="0"/>
</table>
</file>

<file path=xl/tables/table29.xml><?xml version="1.0" encoding="utf-8"?>
<table xmlns="http://schemas.openxmlformats.org/spreadsheetml/2006/main" id="153" name="Pápai_SZC" displayName="Pápai_SZC" ref="H324:H329" totalsRowShown="0" headerRowDxfId="203" dataDxfId="201" headerRowBorderDxfId="202" tableBorderDxfId="200" totalsRowBorderDxfId="199" dataCellStyle="Normál 20">
  <autoFilter ref="H324:H329"/>
  <tableColumns count="1">
    <tableColumn id="1" name="Pápai_SZC" dataDxfId="198" dataCellStyle="Normál 20"/>
  </tableColumns>
  <tableStyleInfo name="TableStyleMedium2" showFirstColumn="0" showLastColumn="0" showRowStripes="1" showColumnStripes="0"/>
</table>
</file>

<file path=xl/tables/table30.xml><?xml version="1.0" encoding="utf-8"?>
<table xmlns="http://schemas.openxmlformats.org/spreadsheetml/2006/main" id="154" name="Baranya_Megyei_SZC" displayName="Baranya_Megyei_SZC" ref="H330:H342" totalsRowShown="0" headerRowDxfId="197" dataDxfId="195" headerRowBorderDxfId="196" tableBorderDxfId="194" totalsRowBorderDxfId="193" dataCellStyle="Normál 20">
  <autoFilter ref="H330:H342"/>
  <tableColumns count="1">
    <tableColumn id="1" name="Baranya_Megyei_SZC" dataDxfId="192" dataCellStyle="Normál 20"/>
  </tableColumns>
  <tableStyleInfo name="TableStyleMedium2" showFirstColumn="0" showLastColumn="0" showRowStripes="1" showColumnStripes="0"/>
</table>
</file>

<file path=xl/tables/table31.xml><?xml version="1.0" encoding="utf-8"?>
<table xmlns="http://schemas.openxmlformats.org/spreadsheetml/2006/main" id="155" name="Nógrád_Megyei_SZC" displayName="Nógrád_Megyei_SZC" ref="H343:H350" totalsRowShown="0" headerRowDxfId="191" dataDxfId="189" headerRowBorderDxfId="190" tableBorderDxfId="188" totalsRowBorderDxfId="187" dataCellStyle="Normál 20">
  <autoFilter ref="H343:H350"/>
  <tableColumns count="1">
    <tableColumn id="1" name="Nógrád_Megyei_SZC" dataDxfId="186" dataCellStyle="Normál 20"/>
  </tableColumns>
  <tableStyleInfo name="TableStyleMedium2" showFirstColumn="0" showLastColumn="0" showRowStripes="1" showColumnStripes="0"/>
</table>
</file>

<file path=xl/tables/table32.xml><?xml version="1.0" encoding="utf-8"?>
<table xmlns="http://schemas.openxmlformats.org/spreadsheetml/2006/main" id="156" name="Siófoki_SZC" displayName="Siófoki_SZC" ref="H351:H356" totalsRowShown="0" headerRowDxfId="185" dataDxfId="183" headerRowBorderDxfId="184" tableBorderDxfId="182" totalsRowBorderDxfId="181" dataCellStyle="Normál 20">
  <autoFilter ref="H351:H356"/>
  <tableColumns count="1">
    <tableColumn id="1" name="Siófoki_SZC" dataDxfId="180" dataCellStyle="Normál 20"/>
  </tableColumns>
  <tableStyleInfo name="TableStyleMedium2" showFirstColumn="0" showLastColumn="0" showRowStripes="1" showColumnStripes="0"/>
</table>
</file>

<file path=xl/tables/table33.xml><?xml version="1.0" encoding="utf-8"?>
<table xmlns="http://schemas.openxmlformats.org/spreadsheetml/2006/main" id="157" name="Soproni_SZC" displayName="Soproni_SZC" ref="H357:H365" totalsRowShown="0" headerRowDxfId="179" dataDxfId="177" headerRowBorderDxfId="178" tableBorderDxfId="176" totalsRowBorderDxfId="175" dataCellStyle="Normál 20">
  <autoFilter ref="H357:H365"/>
  <tableColumns count="1">
    <tableColumn id="1" name="Soproni_SZC" dataDxfId="174" dataCellStyle="Normál 20"/>
  </tableColumns>
  <tableStyleInfo name="TableStyleMedium2" showFirstColumn="0" showLastColumn="0" showRowStripes="1" showColumnStripes="0"/>
</table>
</file>

<file path=xl/tables/table34.xml><?xml version="1.0" encoding="utf-8"?>
<table xmlns="http://schemas.openxmlformats.org/spreadsheetml/2006/main" id="158" name="Szegedi_SZC" displayName="Szegedi_SZC" ref="H366:H376" totalsRowShown="0" headerRowDxfId="173" dataDxfId="171" headerRowBorderDxfId="172" tableBorderDxfId="170" totalsRowBorderDxfId="169" dataCellStyle="Normál 20">
  <autoFilter ref="H366:H376"/>
  <tableColumns count="1">
    <tableColumn id="1" name="Szegedi_SZC" dataDxfId="168" dataCellStyle="Normál 20"/>
  </tableColumns>
  <tableStyleInfo name="TableStyleMedium2" showFirstColumn="0" showLastColumn="0" showRowStripes="1" showColumnStripes="0"/>
</table>
</file>

<file path=xl/tables/table35.xml><?xml version="1.0" encoding="utf-8"?>
<table xmlns="http://schemas.openxmlformats.org/spreadsheetml/2006/main" id="159" name="Székesfehérvári_SZC" displayName="Székesfehérvári_SZC" ref="H377:H388" totalsRowShown="0" headerRowDxfId="167" dataDxfId="165" headerRowBorderDxfId="166" tableBorderDxfId="164" totalsRowBorderDxfId="163" dataCellStyle="Normál 20">
  <autoFilter ref="H377:H388"/>
  <tableColumns count="1">
    <tableColumn id="1" name="Székesfehérvári_SZC" dataDxfId="162" dataCellStyle="Normál 20"/>
  </tableColumns>
  <tableStyleInfo name="TableStyleMedium2" showFirstColumn="0" showLastColumn="0" showRowStripes="1" showColumnStripes="0"/>
</table>
</file>

<file path=xl/tables/table36.xml><?xml version="1.0" encoding="utf-8"?>
<table xmlns="http://schemas.openxmlformats.org/spreadsheetml/2006/main" id="160" name="Tolna_Megyei_SZC" displayName="Tolna_Megyei_SZC" ref="H389:H397" totalsRowShown="0" headerRowDxfId="161" dataDxfId="159" headerRowBorderDxfId="160" tableBorderDxfId="158" totalsRowBorderDxfId="157" dataCellStyle="Normál 20">
  <autoFilter ref="H389:H397"/>
  <tableColumns count="1">
    <tableColumn id="1" name="Tolna_Megyei_SZC" dataDxfId="156" dataCellStyle="Normál 20"/>
  </tableColumns>
  <tableStyleInfo name="TableStyleMedium2" showFirstColumn="0" showLastColumn="0" showRowStripes="1" showColumnStripes="0"/>
</table>
</file>

<file path=xl/tables/table37.xml><?xml version="1.0" encoding="utf-8"?>
<table xmlns="http://schemas.openxmlformats.org/spreadsheetml/2006/main" id="161" name="Szerencsi_SZC" displayName="Szerencsi_SZC" ref="H398:H404" totalsRowShown="0" headerRowDxfId="155" dataDxfId="153" headerRowBorderDxfId="154" tableBorderDxfId="152" totalsRowBorderDxfId="151" dataCellStyle="Normál 20">
  <autoFilter ref="H398:H404"/>
  <tableColumns count="1">
    <tableColumn id="1" name="Szerencsi_SZC" dataDxfId="150" dataCellStyle="Normál 20"/>
  </tableColumns>
  <tableStyleInfo name="TableStyleMedium2" showFirstColumn="0" showLastColumn="0" showRowStripes="1" showColumnStripes="0"/>
</table>
</file>

<file path=xl/tables/table38.xml><?xml version="1.0" encoding="utf-8"?>
<table xmlns="http://schemas.openxmlformats.org/spreadsheetml/2006/main" id="162" name="Szolnoki_SZC" displayName="Szolnoki_SZC" ref="H405:H416" totalsRowShown="0" headerRowDxfId="149" dataDxfId="147" headerRowBorderDxfId="148" tableBorderDxfId="146" totalsRowBorderDxfId="145" dataCellStyle="Normál 20">
  <autoFilter ref="H405:H416"/>
  <tableColumns count="1">
    <tableColumn id="1" name="Szolnoki_SZC" dataDxfId="144" dataCellStyle="Normál 20"/>
  </tableColumns>
  <tableStyleInfo name="TableStyleMedium2" showFirstColumn="0" showLastColumn="0" showRowStripes="1" showColumnStripes="0"/>
</table>
</file>

<file path=xl/tables/table39.xml><?xml version="1.0" encoding="utf-8"?>
<table xmlns="http://schemas.openxmlformats.org/spreadsheetml/2006/main" id="163" name="Tatabányai_SZC" displayName="Tatabányai_SZC" ref="H417:H428" totalsRowShown="0" headerRowDxfId="143" dataDxfId="141" headerRowBorderDxfId="142" tableBorderDxfId="140" totalsRowBorderDxfId="139" dataCellStyle="Normál 20">
  <autoFilter ref="H417:H428"/>
  <tableColumns count="1">
    <tableColumn id="1" name="Tatabányai_SZC" dataDxfId="138" dataCellStyle="Normál 20"/>
  </tableColumns>
  <tableStyleInfo name="TableStyleMedium2" showFirstColumn="0" showLastColumn="0" showRowStripes="1" showColumnStripes="0"/>
</table>
</file>

<file path=xl/tables/table40.xml><?xml version="1.0" encoding="utf-8"?>
<table xmlns="http://schemas.openxmlformats.org/spreadsheetml/2006/main" id="164" name="Esztergomi_SZC" displayName="Esztergomi_SZC" ref="H429:H432" totalsRowShown="0" headerRowDxfId="137" dataDxfId="135" headerRowBorderDxfId="136" tableBorderDxfId="134" totalsRowBorderDxfId="133" dataCellStyle="Normál 20">
  <autoFilter ref="H429:H432"/>
  <tableColumns count="1">
    <tableColumn id="1" name="Esztergomi_SZC" dataDxfId="132" dataCellStyle="Normál 20"/>
  </tableColumns>
  <tableStyleInfo name="TableStyleMedium2" showFirstColumn="0" showLastColumn="0" showRowStripes="1" showColumnStripes="0"/>
</table>
</file>

<file path=xl/tables/table41.xml><?xml version="1.0" encoding="utf-8"?>
<table xmlns="http://schemas.openxmlformats.org/spreadsheetml/2006/main" id="165" name="Váci_SZC" displayName="Váci_SZC" ref="H433:H440" totalsRowShown="0" headerRowDxfId="131" dataDxfId="129" headerRowBorderDxfId="130" tableBorderDxfId="128" totalsRowBorderDxfId="127" dataCellStyle="Normál 20">
  <autoFilter ref="H433:H440"/>
  <tableColumns count="1">
    <tableColumn id="1" name="Váci_SZC" dataDxfId="126" dataCellStyle="Normál 20"/>
  </tableColumns>
  <tableStyleInfo name="TableStyleMedium2" showFirstColumn="0" showLastColumn="0" showRowStripes="1" showColumnStripes="0"/>
</table>
</file>

<file path=xl/tables/table42.xml><?xml version="1.0" encoding="utf-8"?>
<table xmlns="http://schemas.openxmlformats.org/spreadsheetml/2006/main" id="166" name="Vas_Megyei_SZC" displayName="Vas_Megyei_SZC" ref="H442:H456" totalsRowShown="0" headerRowDxfId="125" dataDxfId="123" headerRowBorderDxfId="124" tableBorderDxfId="122" totalsRowBorderDxfId="121" dataCellStyle="Normál 20">
  <autoFilter ref="H442:H456"/>
  <tableColumns count="1">
    <tableColumn id="1" name="Vas_Megyei_SZC" dataDxfId="120" dataCellStyle="Normál 20"/>
  </tableColumns>
  <tableStyleInfo name="TableStyleMedium2" showFirstColumn="0" showLastColumn="0" showRowStripes="1" showColumnStripes="0"/>
</table>
</file>

<file path=xl/tables/table43.xml><?xml version="1.0" encoding="utf-8"?>
<table xmlns="http://schemas.openxmlformats.org/spreadsheetml/2006/main" id="167" name="Veszprémi_SZC" displayName="Veszprémi_SZC" ref="H457:H464" totalsRowShown="0" headerRowDxfId="119" dataDxfId="117" headerRowBorderDxfId="118" tableBorderDxfId="116" totalsRowBorderDxfId="115" dataCellStyle="Normál 20">
  <autoFilter ref="H457:H464"/>
  <tableColumns count="1">
    <tableColumn id="1" name="Veszprémi_SZC" dataDxfId="114" dataCellStyle="Normál 20"/>
  </tableColumns>
  <tableStyleInfo name="TableStyleMedium2" showFirstColumn="0" showLastColumn="0" showRowStripes="1" showColumnStripes="0"/>
</table>
</file>

<file path=xl/tables/table44.xml><?xml version="1.0" encoding="utf-8"?>
<table xmlns="http://schemas.openxmlformats.org/spreadsheetml/2006/main" id="168" name="Zalaegerszegi_SZC" displayName="Zalaegerszegi_SZC" ref="H465:H474" totalsRowShown="0" headerRowDxfId="113" dataDxfId="111" headerRowBorderDxfId="112" tableBorderDxfId="110" totalsRowBorderDxfId="109" dataCellStyle="Normál 20">
  <autoFilter ref="H465:H474"/>
  <tableColumns count="1">
    <tableColumn id="1" name="Zalaegerszegi_SZC" dataDxfId="108" dataCellStyle="Normál 20"/>
  </tableColumns>
  <tableStyleInfo name="TableStyleMedium2" showFirstColumn="0" showLastColumn="0" showRowStripes="1" showColumnStripes="0"/>
</table>
</file>

<file path=xl/tables/table45.xml><?xml version="1.0" encoding="utf-8"?>
<table xmlns="http://schemas.openxmlformats.org/spreadsheetml/2006/main" id="25" name="Alföldi_Agrárszakképzési_Centrum" displayName="Alföldi_Agrárszakképzési_Centrum" ref="H2:H12" totalsRowShown="0" dataDxfId="106" headerRowBorderDxfId="107" tableBorderDxfId="105" totalsRowBorderDxfId="104" dataCellStyle="Normál 20">
  <autoFilter ref="H2:H12"/>
  <tableColumns count="1">
    <tableColumn id="1" name="Alföldi_Agrárszakképzési_Centrum" dataDxfId="103" dataCellStyle="Normál 20"/>
  </tableColumns>
  <tableStyleInfo name="TableStyleMedium2" showFirstColumn="0" showLastColumn="0" showRowStripes="1" showColumnStripes="0"/>
</table>
</file>

<file path=xl/tables/table46.xml><?xml version="1.0" encoding="utf-8"?>
<table xmlns="http://schemas.openxmlformats.org/spreadsheetml/2006/main" id="1" name="Agrárminisztérium" displayName="Agrárminisztérium" ref="D2:D7" totalsRowShown="0" headerRowDxfId="102" dataDxfId="101" tableBorderDxfId="100">
  <autoFilter ref="D2:D7"/>
  <tableColumns count="1">
    <tableColumn id="1" name="Agrárminisztérium" dataDxfId="99"/>
  </tableColumns>
  <tableStyleInfo name="TableStyleMedium2" showFirstColumn="0" showLastColumn="0" showRowStripes="1" showColumnStripes="0"/>
</table>
</file>

<file path=xl/tables/table47.xml><?xml version="1.0" encoding="utf-8"?>
<table xmlns="http://schemas.openxmlformats.org/spreadsheetml/2006/main" id="2" name="Belügyminisztérium" displayName="Belügyminisztérium" ref="D8:D10" totalsRowShown="0" headerRowDxfId="98" dataDxfId="96" headerRowBorderDxfId="97" tableBorderDxfId="95" totalsRowBorderDxfId="94" dataCellStyle="Normál 21">
  <autoFilter ref="D8:D10"/>
  <tableColumns count="1">
    <tableColumn id="1" name="Belügyminisztérium" dataDxfId="93" dataCellStyle="Normál 21"/>
  </tableColumns>
  <tableStyleInfo name="TableStyleMedium2" showFirstColumn="0" showLastColumn="0" showRowStripes="1" showColumnStripes="0"/>
</table>
</file>

<file path=xl/tables/table48.xml><?xml version="1.0" encoding="utf-8"?>
<table xmlns="http://schemas.openxmlformats.org/spreadsheetml/2006/main" id="3" name="Innovációs_és_Technológiai_Minisztérium" displayName="Innovációs_és_Technológiai_Minisztérium" ref="D14:D55" totalsRowShown="0" headerRowDxfId="92" dataDxfId="90" headerRowBorderDxfId="91" tableBorderDxfId="89" totalsRowBorderDxfId="88">
  <autoFilter ref="D14:D55"/>
  <tableColumns count="1">
    <tableColumn id="1" name="Innovációs_és_Technológiai_Minisztérium" dataDxfId="87"/>
  </tableColumns>
  <tableStyleInfo name="TableStyleMedium2" showFirstColumn="0" showLastColumn="0" showRowStripes="1" showColumnStripes="0"/>
</table>
</file>

<file path=xl/tables/table49.xml><?xml version="1.0" encoding="utf-8"?>
<table xmlns="http://schemas.openxmlformats.org/spreadsheetml/2006/main" id="4" name="Honvédelmi_Minisztérium" displayName="Honvédelmi_Minisztérium" ref="D11:D13" totalsRowShown="0" headerRowDxfId="86" dataDxfId="85" tableBorderDxfId="84" headerRowCellStyle="Normál 21">
  <autoFilter ref="D11:D13"/>
  <tableColumns count="1">
    <tableColumn id="1" name="Honvédelmi_Minisztérium" dataDxfId="83"/>
  </tableColumns>
  <tableStyleInfo name="TableStyleMedium2" showFirstColumn="0" showLastColumn="0" showRowStripes="1" showColumnStripes="0"/>
</table>
</file>

<file path=xl/tables/table50.xml><?xml version="1.0" encoding="utf-8"?>
<table xmlns="http://schemas.openxmlformats.org/spreadsheetml/2006/main" id="11" name="Déli_Agrárszakképzési_Centrum" displayName="Déli_Agrárszakképzési_Centrum" ref="H13:H25" totalsRowShown="0" dataDxfId="82" tableBorderDxfId="81" dataCellStyle="Normál 21">
  <autoFilter ref="H13:H25"/>
  <tableColumns count="1">
    <tableColumn id="1" name="Déli_Agrárszakképzési_Centrum" dataDxfId="80" dataCellStyle="Normál 21"/>
  </tableColumns>
  <tableStyleInfo name="TableStyleMedium2" showFirstColumn="0" showLastColumn="0" showRowStripes="1" showColumnStripes="0"/>
</table>
</file>

<file path=xl/tables/table51.xml><?xml version="1.0" encoding="utf-8"?>
<table xmlns="http://schemas.openxmlformats.org/spreadsheetml/2006/main" id="12" name="Északi_Agrárszakképzési_Centrum" displayName="Északi_Agrárszakképzési_Centrum" ref="H26:H37" totalsRowShown="0" dataDxfId="78" headerRowBorderDxfId="79" tableBorderDxfId="77" totalsRowBorderDxfId="76" dataCellStyle="Normál 21">
  <autoFilter ref="H26:H37"/>
  <tableColumns count="1">
    <tableColumn id="1" name="Északi_Agrárszakképzési_Centrum" dataDxfId="75" dataCellStyle="Normál 21"/>
  </tableColumns>
  <tableStyleInfo name="TableStyleMedium2" showFirstColumn="0" showLastColumn="0" showRowStripes="1" showColumnStripes="0"/>
</table>
</file>

<file path=xl/tables/table52.xml><?xml version="1.0" encoding="utf-8"?>
<table xmlns="http://schemas.openxmlformats.org/spreadsheetml/2006/main" id="13" name="Kisalföldi_Agrárszakképzési_Centrum" displayName="Kisalföldi_Agrárszakképzési_Centrum" ref="H38:H50" totalsRowShown="0" headerRowDxfId="74" dataDxfId="72" headerRowBorderDxfId="73" tableBorderDxfId="71" totalsRowBorderDxfId="70" dataCellStyle="Normál 21">
  <autoFilter ref="H38:H50"/>
  <tableColumns count="1">
    <tableColumn id="1" name="Kisalföldi_Agrárszakképzési_Centrum" dataDxfId="69" dataCellStyle="Normál 21"/>
  </tableColumns>
  <tableStyleInfo name="TableStyleMedium2" showFirstColumn="0" showLastColumn="0" showRowStripes="1" showColumnStripes="0"/>
</table>
</file>

<file path=xl/tables/table53.xml><?xml version="1.0" encoding="utf-8"?>
<table xmlns="http://schemas.openxmlformats.org/spreadsheetml/2006/main" id="14" name="Közép_magyarországi_Agrárszakképzési_Centrum" displayName="Közép_magyarországi_Agrárszakképzési_Centrum" ref="H51:H62" totalsRowShown="0" headerRowDxfId="68" dataDxfId="66" headerRowBorderDxfId="67" tableBorderDxfId="65" totalsRowBorderDxfId="64" dataCellStyle="Normál 21">
  <autoFilter ref="H51:H62"/>
  <tableColumns count="1">
    <tableColumn id="1" name="Közép_magyarországi_Agrárszakképzési_Centrum" dataDxfId="63" dataCellStyle="Normál 21"/>
  </tableColumns>
  <tableStyleInfo name="TableStyleMedium2" showFirstColumn="0" showLastColumn="0" showRowStripes="1" showColumnStripes="0"/>
</table>
</file>

<file path=xl/tables/table54.xml><?xml version="1.0" encoding="utf-8"?>
<table xmlns="http://schemas.openxmlformats.org/spreadsheetml/2006/main" id="15" name="Körmendi_Rendvédelmi_Technikum" displayName="Körmendi_Rendvédelmi_Technikum" ref="H63:H64" totalsRowShown="0" headerRowDxfId="62" dataDxfId="61" tableBorderDxfId="60" headerRowCellStyle="Normál 21">
  <autoFilter ref="H63:H64"/>
  <tableColumns count="1">
    <tableColumn id="1" name="Körmendi_Rendvédelmi_Technikum" dataDxfId="59"/>
  </tableColumns>
  <tableStyleInfo name="TableStyleMedium2" showFirstColumn="0" showLastColumn="0" showRowStripes="1" showColumnStripes="0"/>
</table>
</file>

<file path=xl/tables/table55.xml><?xml version="1.0" encoding="utf-8"?>
<table xmlns="http://schemas.openxmlformats.org/spreadsheetml/2006/main" id="16" name="Miskolci_Rendvédelmi_Technikum" displayName="Miskolci_Rendvédelmi_Technikum" ref="H65:H66" totalsRowShown="0" headerRowDxfId="58" dataDxfId="56" headerRowBorderDxfId="57" tableBorderDxfId="55" totalsRowBorderDxfId="54">
  <autoFilter ref="H65:H66"/>
  <tableColumns count="1">
    <tableColumn id="1" name="Miskolci_Rendvédelmi_Technikum" dataDxfId="53"/>
  </tableColumns>
  <tableStyleInfo name="TableStyleMedium2" showFirstColumn="0" showLastColumn="0" showRowStripes="1" showColumnStripes="0"/>
</table>
</file>

<file path=xl/tables/table56.xml><?xml version="1.0" encoding="utf-8"?>
<table xmlns="http://schemas.openxmlformats.org/spreadsheetml/2006/main" id="17" name="Kratochvil_Károly_Honvéd_Középiskola_és_Kollégium" displayName="Kratochvil_Károly_Honvéd_Középiskola_és_Kollégium" ref="H67:H68" totalsRowShown="0" headerRowDxfId="52" dataDxfId="50" headerRowBorderDxfId="51" tableBorderDxfId="49" totalsRowBorderDxfId="48">
  <autoFilter ref="H67:H68"/>
  <tableColumns count="1">
    <tableColumn id="1" name="Kratochvil_Károly_Honvéd_Középiskola_és_Kollégium" dataDxfId="47"/>
  </tableColumns>
  <tableStyleInfo name="TableStyleMedium2" showFirstColumn="0" showLastColumn="0" showRowStripes="1" showColumnStripes="0"/>
</table>
</file>

<file path=xl/tables/table57.xml><?xml version="1.0" encoding="utf-8"?>
<table xmlns="http://schemas.openxmlformats.org/spreadsheetml/2006/main" id="18" name="Magyar_Honvédség_Altiszti_Akadémia" displayName="Magyar_Honvédség_Altiszti_Akadémia" ref="H69:H70" totalsRowShown="0" headerRowDxfId="46" dataDxfId="44" headerRowBorderDxfId="45" tableBorderDxfId="43" totalsRowBorderDxfId="42">
  <autoFilter ref="H69:H70"/>
  <tableColumns count="1">
    <tableColumn id="1" name="Magyar_Honvédség_Altiszti_Akadémia" dataDxfId="41"/>
  </tableColumns>
  <tableStyleInfo name="TableStyleMedium2" showFirstColumn="0" showLastColumn="0" showRowStripes="1" showColumnStripes="0"/>
</table>
</file>

<file path=xl/tables/table58.xml><?xml version="1.0" encoding="utf-8"?>
<table xmlns="http://schemas.openxmlformats.org/spreadsheetml/2006/main" id="23" name="_2017_2018_keresztfélév" displayName="_2017_2018_keresztfélév" ref="N1:N326" totalsRowShown="0" headerRowDxfId="40">
  <autoFilter ref="N1:N326"/>
  <tableColumns count="1">
    <tableColumn id="1" name="_2017_2018_keresztfélév - Szakképesítések megnevezése"/>
  </tableColumns>
  <tableStyleInfo name="TableStyleMedium2" showFirstColumn="0" showLastColumn="0" showRowStripes="1" showColumnStripes="0"/>
</table>
</file>

<file path=xl/tables/table59.xml><?xml version="1.0" encoding="utf-8"?>
<table xmlns="http://schemas.openxmlformats.org/spreadsheetml/2006/main" id="26" name="_2018_2019_ősz" displayName="_2018_2019_ősz" ref="Q1:Q334" totalsRowShown="0" headerRowDxfId="39">
  <autoFilter ref="Q1:Q334"/>
  <tableColumns count="1">
    <tableColumn id="1" name="_2018_2019_ősz-től - Szakképesítések megnevezése + egyéb képzések"/>
  </tableColumns>
  <tableStyleInfo name="TableStyleMedium2" showFirstColumn="0" showLastColumn="0" showRowStripes="1" showColumnStripes="0"/>
</table>
</file>

<file path=xl/tables/table60.xml><?xml version="1.0" encoding="utf-8"?>
<table xmlns="http://schemas.openxmlformats.org/spreadsheetml/2006/main" id="31" name="_2018_2019_keresztfélév" displayName="_2018_2019_keresztfélév" ref="R1:R330" totalsRowShown="0" headerRowDxfId="38">
  <autoFilter ref="R1:R330"/>
  <tableColumns count="1">
    <tableColumn id="1" name="_2018_2019_ősz-től - Szakképesítések megnevezése2"/>
  </tableColumns>
  <tableStyleInfo name="TableStyleMedium2" showFirstColumn="0" showLastColumn="0" showRowStripes="1" showColumnStripes="0"/>
</table>
</file>

<file path=xl/tables/table61.xml><?xml version="1.0" encoding="utf-8"?>
<table xmlns="http://schemas.openxmlformats.org/spreadsheetml/2006/main" id="32" name="_2019_2020_ősz" displayName="_2019_2020_ősz" ref="S1:S334" totalsRowShown="0" headerRowDxfId="37">
  <autoFilter ref="S1:S334"/>
  <tableColumns count="1">
    <tableColumn id="1" name="_2018_2019_ősz-től - Szakképesítések megnevezése3 + egyéb képzések"/>
  </tableColumns>
  <tableStyleInfo name="TableStyleMedium2" showFirstColumn="0" showLastColumn="0" showRowStripes="1" showColumnStripes="0"/>
</table>
</file>

<file path=xl/tables/table62.xml><?xml version="1.0" encoding="utf-8"?>
<table xmlns="http://schemas.openxmlformats.org/spreadsheetml/2006/main" id="33" name="_2019_2020_keresztfélév" displayName="_2019_2020_keresztfélév" ref="U1:U330" totalsRowShown="0" headerRowDxfId="36">
  <autoFilter ref="U1:U330"/>
  <tableColumns count="1">
    <tableColumn id="1" name="_2018_2019_ősz-től - Szakképesítések megnevezése4"/>
  </tableColumns>
  <tableStyleInfo name="TableStyleMedium2" showFirstColumn="0" showLastColumn="0" showRowStripes="1" showColumnStripes="0"/>
</table>
</file>

<file path=xl/tables/table63.xml><?xml version="1.0" encoding="utf-8"?>
<table xmlns="http://schemas.openxmlformats.org/spreadsheetml/2006/main" id="34" name="_2017_2018_ősz" displayName="_2017_2018_ősz" ref="L1:L331" totalsRowShown="0" headerRowDxfId="35">
  <autoFilter ref="L1:L331"/>
  <tableColumns count="1">
    <tableColumn id="1" name="_2017_2018_ősz - egyéb képzések"/>
  </tableColumns>
  <tableStyleInfo name="TableStyleMedium2" showFirstColumn="0" showLastColumn="0" showRowStripes="1" showColumnStripes="0"/>
</table>
</file>

<file path=xl/tables/table64.xml><?xml version="1.0" encoding="utf-8"?>
<table xmlns="http://schemas.openxmlformats.org/spreadsheetml/2006/main" id="37" name="Képzés_kezdete38" displayName="Képzés_kezdete38" ref="J14:J22" totalsRowShown="0" headerRowDxfId="34">
  <autoFilter ref="J14:J22"/>
  <tableColumns count="1">
    <tableColumn id="1" name="Képzés_kezdete"/>
  </tableColumns>
  <tableStyleInfo name="TableStyleMedium4" showFirstColumn="0" showLastColumn="0" showRowStripes="1" showColumnStripes="0"/>
</table>
</file>

<file path=xl/tables/table65.xml><?xml version="1.0" encoding="utf-8"?>
<table xmlns="http://schemas.openxmlformats.org/spreadsheetml/2006/main" id="38" name="_2020_2021_ősz_" displayName="_2020_2021_ősz_" ref="J27:J28" totalsRowShown="0" headerRowDxfId="33" dataDxfId="31" headerRowBorderDxfId="32" tableBorderDxfId="30" totalsRowBorderDxfId="29">
  <autoFilter ref="J27:J28"/>
  <tableColumns count="1">
    <tableColumn id="1" name="_2020_2021_ősz_" dataDxfId="28"/>
  </tableColumns>
  <tableStyleInfo name="TableStyleMedium4" showFirstColumn="0" showLastColumn="0" showRowStripes="1" showColumnStripes="0"/>
</table>
</file>

<file path=xl/tables/table66.xml><?xml version="1.0" encoding="utf-8"?>
<table xmlns="http://schemas.openxmlformats.org/spreadsheetml/2006/main" id="39" name="_2021_2022_ősz_" displayName="_2021_2022_ősz_" ref="J33:J34" totalsRowShown="0" headerRowDxfId="27" dataDxfId="25" headerRowBorderDxfId="26" tableBorderDxfId="24" totalsRowBorderDxfId="23">
  <autoFilter ref="J33:J34"/>
  <tableColumns count="1">
    <tableColumn id="1" name="_2021_2022_ősz_" dataDxfId="22"/>
  </tableColumns>
  <tableStyleInfo name="TableStyleMedium4" showFirstColumn="0" showLastColumn="0" showRowStripes="1" showColumnStripes="0"/>
</table>
</file>

<file path=xl/tables/table67.xml><?xml version="1.0" encoding="utf-8"?>
<table xmlns="http://schemas.openxmlformats.org/spreadsheetml/2006/main" id="40" name="_2020_2021_ősz" displayName="_2020_2021_ősz" ref="AB1:AB176" totalsRowShown="0">
  <autoFilter ref="AB1:AB176"/>
  <tableColumns count="1">
    <tableColumn id="1" name="Szakmajegyzék 2021.I.1-" dataDxfId="21"/>
  </tableColumns>
  <tableStyleInfo name="TableStyleMedium2" showFirstColumn="0" showLastColumn="0" showRowStripes="1" showColumnStripes="0"/>
</table>
</file>

<file path=xl/tables/table68.xml><?xml version="1.0" encoding="utf-8"?>
<table xmlns="http://schemas.openxmlformats.org/spreadsheetml/2006/main" id="41" name="_2020_2021_keresztfélév" displayName="_2020_2021_keresztfélév" ref="AE1:AE176" totalsRowShown="0" headerRowDxfId="20" dataDxfId="19" tableBorderDxfId="18">
  <autoFilter ref="AE1:AE176"/>
  <tableColumns count="1">
    <tableColumn id="1" name="Szakmajegyzék 2021.I.1-" dataDxfId="17"/>
  </tableColumns>
  <tableStyleInfo name="TableStyleMedium2" showFirstColumn="0" showLastColumn="0" showRowStripes="1" showColumnStripes="0"/>
</table>
</file>

<file path=xl/tables/table69.xml><?xml version="1.0" encoding="utf-8"?>
<table xmlns="http://schemas.openxmlformats.org/spreadsheetml/2006/main" id="42" name="_2021_2022_ősz" displayName="_2021_2022_ősz" ref="AH1:AH178" totalsRowShown="0" headerRowDxfId="16" dataDxfId="15" tableBorderDxfId="14">
  <autoFilter ref="AH1:AH178"/>
  <tableColumns count="1">
    <tableColumn id="1" name="Szakmajegyzék 2021.09.01-től" dataDxfId="13"/>
  </tableColumns>
  <tableStyleInfo name="TableStyleMedium2" showFirstColumn="0" showLastColumn="0" showRowStripes="1" showColumnStripes="0"/>
</table>
</file>

<file path=xl/tables/table70.xml><?xml version="1.0" encoding="utf-8"?>
<table xmlns="http://schemas.openxmlformats.org/spreadsheetml/2006/main" id="5" name="_2020_09_2021_08_hó_között" displayName="_2020_09_2021_08_hó_között" ref="AK1:AK346" totalsRowShown="0" headerRowDxfId="12">
  <autoFilter ref="AK1:AK346"/>
  <tableColumns count="1">
    <tableColumn id="1" name="Szakképesítések 21.01.08. PK-k"/>
  </tableColumns>
  <tableStyleInfo name="TableStyleMedium2" showFirstColumn="0" showLastColumn="0" showRowStripes="1" showColumnStripes="0"/>
</table>
</file>

<file path=xl/tables/table71.xml><?xml version="1.0" encoding="utf-8"?>
<table xmlns="http://schemas.openxmlformats.org/spreadsheetml/2006/main" id="6" name="Szakmai_képzés_kezdete" displayName="Szakmai_képzés_kezdete" ref="Z18:Z20" totalsRowShown="0">
  <autoFilter ref="Z18:Z20"/>
  <tableColumns count="1">
    <tableColumn id="1" name="Szakmai_képzés_kezdete"/>
  </tableColumns>
  <tableStyleInfo name="TableStyleMedium2" showFirstColumn="0" showLastColumn="0" showRowStripes="1" showColumnStripes="0"/>
</table>
</file>

<file path=xl/tables/table72.xml><?xml version="1.0" encoding="utf-8"?>
<table xmlns="http://schemas.openxmlformats.org/spreadsheetml/2006/main" id="7" name="_2021_09_2021_12_hó_között" displayName="_2021_09_2021_12_hó_között" ref="AM1:AM398" totalsRowShown="0" headerRowDxfId="11">
  <autoFilter ref="AM1:AM398"/>
  <tableColumns count="1">
    <tableColumn id="1" name="Szakképesítések 21.08.02. PK-k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mailto:fabri.eufrozina@egriszc.hu" TargetMode="External"/><Relationship Id="rId2" Type="http://schemas.openxmlformats.org/officeDocument/2006/relationships/hyperlink" Target="mailto:avramucz.mihaly@szakkepzesszeged.hu;%2030/647-3556;%2062/554-560" TargetMode="External"/><Relationship Id="rId1" Type="http://schemas.openxmlformats.org/officeDocument/2006/relationships/hyperlink" Target="mailto:benedek.gabor@papaiszc.hu" TargetMode="External"/><Relationship Id="rId5" Type="http://schemas.openxmlformats.org/officeDocument/2006/relationships/printerSettings" Target="../printerSettings/printerSettings7.bin"/><Relationship Id="rId4" Type="http://schemas.openxmlformats.org/officeDocument/2006/relationships/hyperlink" Target="mailto:kancellar@eszc.eu;%2070/709-4132" TargetMode="External"/></Relationships>
</file>

<file path=xl/worksheets/_rels/sheet8.xml.rels><?xml version="1.0" encoding="UTF-8" standalone="yes"?>
<Relationships xmlns="http://schemas.openxmlformats.org/package/2006/relationships"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26" Type="http://schemas.openxmlformats.org/officeDocument/2006/relationships/table" Target="../tables/table25.xml"/><Relationship Id="rId39" Type="http://schemas.openxmlformats.org/officeDocument/2006/relationships/table" Target="../tables/table38.xml"/><Relationship Id="rId21" Type="http://schemas.openxmlformats.org/officeDocument/2006/relationships/table" Target="../tables/table20.xml"/><Relationship Id="rId34" Type="http://schemas.openxmlformats.org/officeDocument/2006/relationships/table" Target="../tables/table33.xml"/><Relationship Id="rId42" Type="http://schemas.openxmlformats.org/officeDocument/2006/relationships/table" Target="../tables/table41.xml"/><Relationship Id="rId47" Type="http://schemas.openxmlformats.org/officeDocument/2006/relationships/table" Target="../tables/table46.xml"/><Relationship Id="rId50" Type="http://schemas.openxmlformats.org/officeDocument/2006/relationships/table" Target="../tables/table49.xml"/><Relationship Id="rId55" Type="http://schemas.openxmlformats.org/officeDocument/2006/relationships/table" Target="../tables/table54.xml"/><Relationship Id="rId63" Type="http://schemas.openxmlformats.org/officeDocument/2006/relationships/table" Target="../tables/table62.xml"/><Relationship Id="rId68" Type="http://schemas.openxmlformats.org/officeDocument/2006/relationships/table" Target="../tables/table67.xml"/><Relationship Id="rId7" Type="http://schemas.openxmlformats.org/officeDocument/2006/relationships/table" Target="../tables/table6.xml"/><Relationship Id="rId71" Type="http://schemas.openxmlformats.org/officeDocument/2006/relationships/table" Target="../tables/table70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9" Type="http://schemas.openxmlformats.org/officeDocument/2006/relationships/table" Target="../tables/table28.xml"/><Relationship Id="rId11" Type="http://schemas.openxmlformats.org/officeDocument/2006/relationships/table" Target="../tables/table10.xml"/><Relationship Id="rId24" Type="http://schemas.openxmlformats.org/officeDocument/2006/relationships/table" Target="../tables/table23.xml"/><Relationship Id="rId32" Type="http://schemas.openxmlformats.org/officeDocument/2006/relationships/table" Target="../tables/table31.xml"/><Relationship Id="rId37" Type="http://schemas.openxmlformats.org/officeDocument/2006/relationships/table" Target="../tables/table36.xml"/><Relationship Id="rId40" Type="http://schemas.openxmlformats.org/officeDocument/2006/relationships/table" Target="../tables/table39.xml"/><Relationship Id="rId45" Type="http://schemas.openxmlformats.org/officeDocument/2006/relationships/table" Target="../tables/table44.xml"/><Relationship Id="rId53" Type="http://schemas.openxmlformats.org/officeDocument/2006/relationships/table" Target="../tables/table52.xml"/><Relationship Id="rId58" Type="http://schemas.openxmlformats.org/officeDocument/2006/relationships/table" Target="../tables/table57.xml"/><Relationship Id="rId66" Type="http://schemas.openxmlformats.org/officeDocument/2006/relationships/table" Target="../tables/table65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23" Type="http://schemas.openxmlformats.org/officeDocument/2006/relationships/table" Target="../tables/table22.xml"/><Relationship Id="rId28" Type="http://schemas.openxmlformats.org/officeDocument/2006/relationships/table" Target="../tables/table27.xml"/><Relationship Id="rId36" Type="http://schemas.openxmlformats.org/officeDocument/2006/relationships/table" Target="../tables/table35.xml"/><Relationship Id="rId49" Type="http://schemas.openxmlformats.org/officeDocument/2006/relationships/table" Target="../tables/table48.xml"/><Relationship Id="rId57" Type="http://schemas.openxmlformats.org/officeDocument/2006/relationships/table" Target="../tables/table56.xml"/><Relationship Id="rId61" Type="http://schemas.openxmlformats.org/officeDocument/2006/relationships/table" Target="../tables/table60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31" Type="http://schemas.openxmlformats.org/officeDocument/2006/relationships/table" Target="../tables/table30.xml"/><Relationship Id="rId44" Type="http://schemas.openxmlformats.org/officeDocument/2006/relationships/table" Target="../tables/table43.xml"/><Relationship Id="rId52" Type="http://schemas.openxmlformats.org/officeDocument/2006/relationships/table" Target="../tables/table51.xml"/><Relationship Id="rId60" Type="http://schemas.openxmlformats.org/officeDocument/2006/relationships/table" Target="../tables/table59.xml"/><Relationship Id="rId65" Type="http://schemas.openxmlformats.org/officeDocument/2006/relationships/table" Target="../tables/table64.xml"/><Relationship Id="rId73" Type="http://schemas.openxmlformats.org/officeDocument/2006/relationships/table" Target="../tables/table72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Relationship Id="rId22" Type="http://schemas.openxmlformats.org/officeDocument/2006/relationships/table" Target="../tables/table21.xml"/><Relationship Id="rId27" Type="http://schemas.openxmlformats.org/officeDocument/2006/relationships/table" Target="../tables/table26.xml"/><Relationship Id="rId30" Type="http://schemas.openxmlformats.org/officeDocument/2006/relationships/table" Target="../tables/table29.xml"/><Relationship Id="rId35" Type="http://schemas.openxmlformats.org/officeDocument/2006/relationships/table" Target="../tables/table34.xml"/><Relationship Id="rId43" Type="http://schemas.openxmlformats.org/officeDocument/2006/relationships/table" Target="../tables/table42.xml"/><Relationship Id="rId48" Type="http://schemas.openxmlformats.org/officeDocument/2006/relationships/table" Target="../tables/table47.xml"/><Relationship Id="rId56" Type="http://schemas.openxmlformats.org/officeDocument/2006/relationships/table" Target="../tables/table55.xml"/><Relationship Id="rId64" Type="http://schemas.openxmlformats.org/officeDocument/2006/relationships/table" Target="../tables/table63.xml"/><Relationship Id="rId69" Type="http://schemas.openxmlformats.org/officeDocument/2006/relationships/table" Target="../tables/table68.xml"/><Relationship Id="rId8" Type="http://schemas.openxmlformats.org/officeDocument/2006/relationships/table" Target="../tables/table7.xml"/><Relationship Id="rId51" Type="http://schemas.openxmlformats.org/officeDocument/2006/relationships/table" Target="../tables/table50.xml"/><Relationship Id="rId72" Type="http://schemas.openxmlformats.org/officeDocument/2006/relationships/table" Target="../tables/table71.xml"/><Relationship Id="rId3" Type="http://schemas.openxmlformats.org/officeDocument/2006/relationships/table" Target="../tables/table2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5" Type="http://schemas.openxmlformats.org/officeDocument/2006/relationships/table" Target="../tables/table24.xml"/><Relationship Id="rId33" Type="http://schemas.openxmlformats.org/officeDocument/2006/relationships/table" Target="../tables/table32.xml"/><Relationship Id="rId38" Type="http://schemas.openxmlformats.org/officeDocument/2006/relationships/table" Target="../tables/table37.xml"/><Relationship Id="rId46" Type="http://schemas.openxmlformats.org/officeDocument/2006/relationships/table" Target="../tables/table45.xml"/><Relationship Id="rId59" Type="http://schemas.openxmlformats.org/officeDocument/2006/relationships/table" Target="../tables/table58.xml"/><Relationship Id="rId67" Type="http://schemas.openxmlformats.org/officeDocument/2006/relationships/table" Target="../tables/table66.xml"/><Relationship Id="rId20" Type="http://schemas.openxmlformats.org/officeDocument/2006/relationships/table" Target="../tables/table19.xml"/><Relationship Id="rId41" Type="http://schemas.openxmlformats.org/officeDocument/2006/relationships/table" Target="../tables/table40.xml"/><Relationship Id="rId54" Type="http://schemas.openxmlformats.org/officeDocument/2006/relationships/table" Target="../tables/table53.xml"/><Relationship Id="rId62" Type="http://schemas.openxmlformats.org/officeDocument/2006/relationships/table" Target="../tables/table61.xml"/><Relationship Id="rId70" Type="http://schemas.openxmlformats.org/officeDocument/2006/relationships/table" Target="../tables/table69.xml"/><Relationship Id="rId1" Type="http://schemas.openxmlformats.org/officeDocument/2006/relationships/printerSettings" Target="../printerSettings/printerSettings8.bin"/><Relationship Id="rId6" Type="http://schemas.openxmlformats.org/officeDocument/2006/relationships/table" Target="../tables/table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17" Type="http://schemas.openxmlformats.org/officeDocument/2006/relationships/hyperlink" Target="https://api.ikk.hu/v1/media/2757" TargetMode="External"/><Relationship Id="rId299" Type="http://schemas.openxmlformats.org/officeDocument/2006/relationships/hyperlink" Target="https://api.ikk.hu/v1/media/1840" TargetMode="External"/><Relationship Id="rId303" Type="http://schemas.openxmlformats.org/officeDocument/2006/relationships/hyperlink" Target="https://api.ikk.hu/v1/media/1885" TargetMode="External"/><Relationship Id="rId21" Type="http://schemas.openxmlformats.org/officeDocument/2006/relationships/hyperlink" Target="https://api.ikk.hu/v1/media/2783" TargetMode="External"/><Relationship Id="rId42" Type="http://schemas.openxmlformats.org/officeDocument/2006/relationships/hyperlink" Target="https://api.ikk.hu/v1/media/2813" TargetMode="External"/><Relationship Id="rId63" Type="http://schemas.openxmlformats.org/officeDocument/2006/relationships/hyperlink" Target="https://api.ikk.hu/v1/media/2818" TargetMode="External"/><Relationship Id="rId84" Type="http://schemas.openxmlformats.org/officeDocument/2006/relationships/hyperlink" Target="https://api.ikk.hu/v1/media/2823" TargetMode="External"/><Relationship Id="rId138" Type="http://schemas.openxmlformats.org/officeDocument/2006/relationships/hyperlink" Target="https://api.ikk.hu/v1/media/2616" TargetMode="External"/><Relationship Id="rId159" Type="http://schemas.openxmlformats.org/officeDocument/2006/relationships/hyperlink" Target="https://api.ikk.hu/v1/media/1891" TargetMode="External"/><Relationship Id="rId324" Type="http://schemas.openxmlformats.org/officeDocument/2006/relationships/hyperlink" Target="https://api.ikk.hu/v1/media/2603" TargetMode="External"/><Relationship Id="rId345" Type="http://schemas.openxmlformats.org/officeDocument/2006/relationships/hyperlink" Target="https://api.ikk.hu/v1/media/1845" TargetMode="External"/><Relationship Id="rId170" Type="http://schemas.openxmlformats.org/officeDocument/2006/relationships/hyperlink" Target="https://api.ikk.hu/v1/media/1859" TargetMode="External"/><Relationship Id="rId191" Type="http://schemas.openxmlformats.org/officeDocument/2006/relationships/hyperlink" Target="https://api.ikk.hu/v1/media/1883" TargetMode="External"/><Relationship Id="rId205" Type="http://schemas.openxmlformats.org/officeDocument/2006/relationships/hyperlink" Target="https://api.ikk.hu/v1/media/1818" TargetMode="External"/><Relationship Id="rId226" Type="http://schemas.openxmlformats.org/officeDocument/2006/relationships/hyperlink" Target="https://api.ikk.hu/v1/media/1899" TargetMode="External"/><Relationship Id="rId247" Type="http://schemas.openxmlformats.org/officeDocument/2006/relationships/hyperlink" Target="https://api.ikk.hu/v1/media/1876" TargetMode="External"/><Relationship Id="rId107" Type="http://schemas.openxmlformats.org/officeDocument/2006/relationships/hyperlink" Target="https://api.ikk.hu/v1/media/1886" TargetMode="External"/><Relationship Id="rId268" Type="http://schemas.openxmlformats.org/officeDocument/2006/relationships/hyperlink" Target="https://api.ikk.hu/v1/media/2700" TargetMode="External"/><Relationship Id="rId289" Type="http://schemas.openxmlformats.org/officeDocument/2006/relationships/hyperlink" Target="https://api.ikk.hu/v1/media/2631" TargetMode="External"/><Relationship Id="rId11" Type="http://schemas.openxmlformats.org/officeDocument/2006/relationships/hyperlink" Target="https://api.ikk.hu/v1/media/2749" TargetMode="External"/><Relationship Id="rId32" Type="http://schemas.openxmlformats.org/officeDocument/2006/relationships/hyperlink" Target="https://api.ikk.hu/v1/media/2829" TargetMode="External"/><Relationship Id="rId53" Type="http://schemas.openxmlformats.org/officeDocument/2006/relationships/hyperlink" Target="https://api.ikk.hu/v1/media/2693" TargetMode="External"/><Relationship Id="rId74" Type="http://schemas.openxmlformats.org/officeDocument/2006/relationships/hyperlink" Target="https://api.ikk.hu/v1/media/2656" TargetMode="External"/><Relationship Id="rId128" Type="http://schemas.openxmlformats.org/officeDocument/2006/relationships/hyperlink" Target="https://api.ikk.hu/v1/media/2782" TargetMode="External"/><Relationship Id="rId149" Type="http://schemas.openxmlformats.org/officeDocument/2006/relationships/hyperlink" Target="https://api.ikk.hu/v1/media/2619" TargetMode="External"/><Relationship Id="rId314" Type="http://schemas.openxmlformats.org/officeDocument/2006/relationships/hyperlink" Target="https://api.ikk.hu/v1/media/1908" TargetMode="External"/><Relationship Id="rId335" Type="http://schemas.openxmlformats.org/officeDocument/2006/relationships/hyperlink" Target="https://api.ikk.hu/v1/media/2601" TargetMode="External"/><Relationship Id="rId356" Type="http://schemas.openxmlformats.org/officeDocument/2006/relationships/hyperlink" Target="https://api.ikk.hu/v1/media/1889" TargetMode="External"/><Relationship Id="rId5" Type="http://schemas.openxmlformats.org/officeDocument/2006/relationships/hyperlink" Target="https://api.ikk.hu/v1/media/2755" TargetMode="External"/><Relationship Id="rId95" Type="http://schemas.openxmlformats.org/officeDocument/2006/relationships/hyperlink" Target="https://api.ikk.hu/v1/media/2686" TargetMode="External"/><Relationship Id="rId160" Type="http://schemas.openxmlformats.org/officeDocument/2006/relationships/hyperlink" Target="https://api.ikk.hu/v1/media/1863" TargetMode="External"/><Relationship Id="rId181" Type="http://schemas.openxmlformats.org/officeDocument/2006/relationships/hyperlink" Target="https://api.ikk.hu/v1/media/1832" TargetMode="External"/><Relationship Id="rId216" Type="http://schemas.openxmlformats.org/officeDocument/2006/relationships/hyperlink" Target="https://api.ikk.hu/v1/media/1824" TargetMode="External"/><Relationship Id="rId237" Type="http://schemas.openxmlformats.org/officeDocument/2006/relationships/hyperlink" Target="https://api.ikk.hu/v1/media/1913" TargetMode="External"/><Relationship Id="rId258" Type="http://schemas.openxmlformats.org/officeDocument/2006/relationships/hyperlink" Target="https://api.ikk.hu/v1/media/1914" TargetMode="External"/><Relationship Id="rId279" Type="http://schemas.openxmlformats.org/officeDocument/2006/relationships/hyperlink" Target="https://api.ikk.hu/v1/media/2697" TargetMode="External"/><Relationship Id="rId22" Type="http://schemas.openxmlformats.org/officeDocument/2006/relationships/hyperlink" Target="https://api.ikk.hu/v1/media/2780" TargetMode="External"/><Relationship Id="rId43" Type="http://schemas.openxmlformats.org/officeDocument/2006/relationships/hyperlink" Target="https://api.ikk.hu/v1/media/2801" TargetMode="External"/><Relationship Id="rId64" Type="http://schemas.openxmlformats.org/officeDocument/2006/relationships/hyperlink" Target="https://api.ikk.hu/v1/media/2817" TargetMode="External"/><Relationship Id="rId118" Type="http://schemas.openxmlformats.org/officeDocument/2006/relationships/hyperlink" Target="https://api.ikk.hu/v1/media/2760" TargetMode="External"/><Relationship Id="rId139" Type="http://schemas.openxmlformats.org/officeDocument/2006/relationships/hyperlink" Target="https://api.ikk.hu/v1/media/1961" TargetMode="External"/><Relationship Id="rId290" Type="http://schemas.openxmlformats.org/officeDocument/2006/relationships/hyperlink" Target="https://api.ikk.hu/v1/media/2635" TargetMode="External"/><Relationship Id="rId304" Type="http://schemas.openxmlformats.org/officeDocument/2006/relationships/hyperlink" Target="https://api.ikk.hu/v1/media/1946" TargetMode="External"/><Relationship Id="rId325" Type="http://schemas.openxmlformats.org/officeDocument/2006/relationships/hyperlink" Target="https://api.ikk.hu/v1/media/2611" TargetMode="External"/><Relationship Id="rId346" Type="http://schemas.openxmlformats.org/officeDocument/2006/relationships/hyperlink" Target="https://api.ikk.hu/v1/media/1846" TargetMode="External"/><Relationship Id="rId85" Type="http://schemas.openxmlformats.org/officeDocument/2006/relationships/hyperlink" Target="https://api.ikk.hu/v1/media/2664" TargetMode="External"/><Relationship Id="rId150" Type="http://schemas.openxmlformats.org/officeDocument/2006/relationships/hyperlink" Target="https://api.ikk.hu/v1/media/2618" TargetMode="External"/><Relationship Id="rId171" Type="http://schemas.openxmlformats.org/officeDocument/2006/relationships/hyperlink" Target="https://api.ikk.hu/v1/media/2620" TargetMode="External"/><Relationship Id="rId192" Type="http://schemas.openxmlformats.org/officeDocument/2006/relationships/hyperlink" Target="https://api.ikk.hu/v1/media/1940" TargetMode="External"/><Relationship Id="rId206" Type="http://schemas.openxmlformats.org/officeDocument/2006/relationships/hyperlink" Target="https://api.ikk.hu/v1/media/1819" TargetMode="External"/><Relationship Id="rId227" Type="http://schemas.openxmlformats.org/officeDocument/2006/relationships/hyperlink" Target="https://api.ikk.hu/v1/media/1864" TargetMode="External"/><Relationship Id="rId248" Type="http://schemas.openxmlformats.org/officeDocument/2006/relationships/hyperlink" Target="https://api.ikk.hu/v1/media/1944" TargetMode="External"/><Relationship Id="rId269" Type="http://schemas.openxmlformats.org/officeDocument/2006/relationships/hyperlink" Target="https://api.ikk.hu/v1/media/2773" TargetMode="External"/><Relationship Id="rId12" Type="http://schemas.openxmlformats.org/officeDocument/2006/relationships/hyperlink" Target="https://api.ikk.hu/v1/media/2788" TargetMode="External"/><Relationship Id="rId33" Type="http://schemas.openxmlformats.org/officeDocument/2006/relationships/hyperlink" Target="https://api.ikk.hu/v1/media/2740" TargetMode="External"/><Relationship Id="rId108" Type="http://schemas.openxmlformats.org/officeDocument/2006/relationships/hyperlink" Target="https://api.ikk.hu/v1/media/1933" TargetMode="External"/><Relationship Id="rId129" Type="http://schemas.openxmlformats.org/officeDocument/2006/relationships/hyperlink" Target="https://api.ikk.hu/v1/media/2822" TargetMode="External"/><Relationship Id="rId280" Type="http://schemas.openxmlformats.org/officeDocument/2006/relationships/hyperlink" Target="https://api.ikk.hu/v1/media/2628" TargetMode="External"/><Relationship Id="rId315" Type="http://schemas.openxmlformats.org/officeDocument/2006/relationships/hyperlink" Target="https://api.ikk.hu/v1/media/2638" TargetMode="External"/><Relationship Id="rId336" Type="http://schemas.openxmlformats.org/officeDocument/2006/relationships/hyperlink" Target="https://api.ikk.hu/v1/media/2600" TargetMode="External"/><Relationship Id="rId357" Type="http://schemas.openxmlformats.org/officeDocument/2006/relationships/hyperlink" Target="https://api.ikk.hu/v1/media/1906" TargetMode="External"/><Relationship Id="rId54" Type="http://schemas.openxmlformats.org/officeDocument/2006/relationships/hyperlink" Target="https://api.ikk.hu/v1/media/2694" TargetMode="External"/><Relationship Id="rId75" Type="http://schemas.openxmlformats.org/officeDocument/2006/relationships/hyperlink" Target="https://api.ikk.hu/v1/media/2657" TargetMode="External"/><Relationship Id="rId96" Type="http://schemas.openxmlformats.org/officeDocument/2006/relationships/hyperlink" Target="https://api.ikk.hu/v1/media/2676" TargetMode="External"/><Relationship Id="rId140" Type="http://schemas.openxmlformats.org/officeDocument/2006/relationships/hyperlink" Target="https://api.ikk.hu/v1/media/1947" TargetMode="External"/><Relationship Id="rId161" Type="http://schemas.openxmlformats.org/officeDocument/2006/relationships/hyperlink" Target="https://api.ikk.hu/v1/media/1956" TargetMode="External"/><Relationship Id="rId182" Type="http://schemas.openxmlformats.org/officeDocument/2006/relationships/hyperlink" Target="https://api.ikk.hu/v1/media/1833" TargetMode="External"/><Relationship Id="rId217" Type="http://schemas.openxmlformats.org/officeDocument/2006/relationships/hyperlink" Target="https://api.ikk.hu/v1/media/1825" TargetMode="External"/><Relationship Id="rId6" Type="http://schemas.openxmlformats.org/officeDocument/2006/relationships/hyperlink" Target="https://api.ikk.hu/v1/media/2754" TargetMode="External"/><Relationship Id="rId238" Type="http://schemas.openxmlformats.org/officeDocument/2006/relationships/hyperlink" Target="https://api.ikk.hu/v1/media/1927" TargetMode="External"/><Relationship Id="rId259" Type="http://schemas.openxmlformats.org/officeDocument/2006/relationships/hyperlink" Target="https://api.ikk.hu/v1/media/1954" TargetMode="External"/><Relationship Id="rId23" Type="http://schemas.openxmlformats.org/officeDocument/2006/relationships/hyperlink" Target="https://api.ikk.hu/v1/media/2779" TargetMode="External"/><Relationship Id="rId119" Type="http://schemas.openxmlformats.org/officeDocument/2006/relationships/hyperlink" Target="https://api.ikk.hu/v1/media/2761" TargetMode="External"/><Relationship Id="rId270" Type="http://schemas.openxmlformats.org/officeDocument/2006/relationships/hyperlink" Target="https://api.ikk.hu/v1/media/2772" TargetMode="External"/><Relationship Id="rId291" Type="http://schemas.openxmlformats.org/officeDocument/2006/relationships/hyperlink" Target="https://api.ikk.hu/v1/media/2632" TargetMode="External"/><Relationship Id="rId305" Type="http://schemas.openxmlformats.org/officeDocument/2006/relationships/hyperlink" Target="https://api.ikk.hu/v1/media/2643" TargetMode="External"/><Relationship Id="rId326" Type="http://schemas.openxmlformats.org/officeDocument/2006/relationships/hyperlink" Target="https://api.ikk.hu/v1/media/2610" TargetMode="External"/><Relationship Id="rId347" Type="http://schemas.openxmlformats.org/officeDocument/2006/relationships/hyperlink" Target="https://api.ikk.hu/v1/media/1847" TargetMode="External"/><Relationship Id="rId44" Type="http://schemas.openxmlformats.org/officeDocument/2006/relationships/hyperlink" Target="https://api.ikk.hu/v1/media/2816" TargetMode="External"/><Relationship Id="rId65" Type="http://schemas.openxmlformats.org/officeDocument/2006/relationships/hyperlink" Target="https://api.ikk.hu/v1/media/2809" TargetMode="External"/><Relationship Id="rId86" Type="http://schemas.openxmlformats.org/officeDocument/2006/relationships/hyperlink" Target="https://api.ikk.hu/v1/media/2659" TargetMode="External"/><Relationship Id="rId130" Type="http://schemas.openxmlformats.org/officeDocument/2006/relationships/hyperlink" Target="https://api.ikk.hu/v1/media/2786" TargetMode="External"/><Relationship Id="rId151" Type="http://schemas.openxmlformats.org/officeDocument/2006/relationships/hyperlink" Target="https://api.ikk.hu/v1/media/2617" TargetMode="External"/><Relationship Id="rId172" Type="http://schemas.openxmlformats.org/officeDocument/2006/relationships/hyperlink" Target="https://api.ikk.hu/v1/media/2623" TargetMode="External"/><Relationship Id="rId193" Type="http://schemas.openxmlformats.org/officeDocument/2006/relationships/hyperlink" Target="https://api.ikk.hu/v1/media/1930" TargetMode="External"/><Relationship Id="rId207" Type="http://schemas.openxmlformats.org/officeDocument/2006/relationships/hyperlink" Target="https://api.ikk.hu/v1/media/2626" TargetMode="External"/><Relationship Id="rId228" Type="http://schemas.openxmlformats.org/officeDocument/2006/relationships/hyperlink" Target="https://api.ikk.hu/v1/media/1926" TargetMode="External"/><Relationship Id="rId249" Type="http://schemas.openxmlformats.org/officeDocument/2006/relationships/hyperlink" Target="https://api.ikk.hu/v1/media/1872" TargetMode="External"/><Relationship Id="rId13" Type="http://schemas.openxmlformats.org/officeDocument/2006/relationships/hyperlink" Target="https://api.ikk.hu/v1/media/2735" TargetMode="External"/><Relationship Id="rId109" Type="http://schemas.openxmlformats.org/officeDocument/2006/relationships/hyperlink" Target="https://api.ikk.hu/v1/media/1987" TargetMode="External"/><Relationship Id="rId260" Type="http://schemas.openxmlformats.org/officeDocument/2006/relationships/hyperlink" Target="https://api.ikk.hu/v1/media/1875" TargetMode="External"/><Relationship Id="rId281" Type="http://schemas.openxmlformats.org/officeDocument/2006/relationships/hyperlink" Target="https://api.ikk.hu/v1/media/2691" TargetMode="External"/><Relationship Id="rId316" Type="http://schemas.openxmlformats.org/officeDocument/2006/relationships/hyperlink" Target="https://api.ikk.hu/v1/media/2637" TargetMode="External"/><Relationship Id="rId337" Type="http://schemas.openxmlformats.org/officeDocument/2006/relationships/hyperlink" Target="https://api.ikk.hu/v1/media/2706" TargetMode="External"/><Relationship Id="rId34" Type="http://schemas.openxmlformats.org/officeDocument/2006/relationships/hyperlink" Target="https://api.ikk.hu/v1/media/2746" TargetMode="External"/><Relationship Id="rId55" Type="http://schemas.openxmlformats.org/officeDocument/2006/relationships/hyperlink" Target="https://api.ikk.hu/v1/media/2776" TargetMode="External"/><Relationship Id="rId76" Type="http://schemas.openxmlformats.org/officeDocument/2006/relationships/hyperlink" Target="https://api.ikk.hu/v1/media/2646" TargetMode="External"/><Relationship Id="rId97" Type="http://schemas.openxmlformats.org/officeDocument/2006/relationships/hyperlink" Target="https://api.ikk.hu/v1/media/2672" TargetMode="External"/><Relationship Id="rId120" Type="http://schemas.openxmlformats.org/officeDocument/2006/relationships/hyperlink" Target="https://api.ikk.hu/v1/media/2781" TargetMode="External"/><Relationship Id="rId141" Type="http://schemas.openxmlformats.org/officeDocument/2006/relationships/hyperlink" Target="https://api.ikk.hu/v1/media/1893" TargetMode="External"/><Relationship Id="rId358" Type="http://schemas.openxmlformats.org/officeDocument/2006/relationships/hyperlink" Target="https://api.ikk.hu/v1/media/1884" TargetMode="External"/><Relationship Id="rId7" Type="http://schemas.openxmlformats.org/officeDocument/2006/relationships/hyperlink" Target="https://api.ikk.hu/v1/media/2751" TargetMode="External"/><Relationship Id="rId162" Type="http://schemas.openxmlformats.org/officeDocument/2006/relationships/hyperlink" Target="https://api.ikk.hu/v1/media/1951" TargetMode="External"/><Relationship Id="rId183" Type="http://schemas.openxmlformats.org/officeDocument/2006/relationships/hyperlink" Target="https://api.ikk.hu/v1/media/1834" TargetMode="External"/><Relationship Id="rId218" Type="http://schemas.openxmlformats.org/officeDocument/2006/relationships/hyperlink" Target="https://api.ikk.hu/v1/media/1830" TargetMode="External"/><Relationship Id="rId239" Type="http://schemas.openxmlformats.org/officeDocument/2006/relationships/hyperlink" Target="https://api.ikk.hu/v1/media/1856" TargetMode="External"/><Relationship Id="rId250" Type="http://schemas.openxmlformats.org/officeDocument/2006/relationships/hyperlink" Target="https://api.ikk.hu/v1/media/1860" TargetMode="External"/><Relationship Id="rId271" Type="http://schemas.openxmlformats.org/officeDocument/2006/relationships/hyperlink" Target="https://api.ikk.hu/v1/media/2763" TargetMode="External"/><Relationship Id="rId292" Type="http://schemas.openxmlformats.org/officeDocument/2006/relationships/hyperlink" Target="https://api.ikk.hu/v1/media/2630" TargetMode="External"/><Relationship Id="rId306" Type="http://schemas.openxmlformats.org/officeDocument/2006/relationships/hyperlink" Target="https://api.ikk.hu/v1/media/1965" TargetMode="External"/><Relationship Id="rId24" Type="http://schemas.openxmlformats.org/officeDocument/2006/relationships/hyperlink" Target="https://api.ikk.hu/v1/media/2769" TargetMode="External"/><Relationship Id="rId45" Type="http://schemas.openxmlformats.org/officeDocument/2006/relationships/hyperlink" Target="https://api.ikk.hu/v1/media/2819" TargetMode="External"/><Relationship Id="rId66" Type="http://schemas.openxmlformats.org/officeDocument/2006/relationships/hyperlink" Target="https://api.ikk.hu/v1/media/2815" TargetMode="External"/><Relationship Id="rId87" Type="http://schemas.openxmlformats.org/officeDocument/2006/relationships/hyperlink" Target="https://api.ikk.hu/v1/media/2668" TargetMode="External"/><Relationship Id="rId110" Type="http://schemas.openxmlformats.org/officeDocument/2006/relationships/hyperlink" Target="https://api.ikk.hu/v1/media/1986" TargetMode="External"/><Relationship Id="rId131" Type="http://schemas.openxmlformats.org/officeDocument/2006/relationships/hyperlink" Target="https://api.ikk.hu/v1/media/2826" TargetMode="External"/><Relationship Id="rId327" Type="http://schemas.openxmlformats.org/officeDocument/2006/relationships/hyperlink" Target="https://api.ikk.hu/v1/media/2609" TargetMode="External"/><Relationship Id="rId348" Type="http://schemas.openxmlformats.org/officeDocument/2006/relationships/hyperlink" Target="https://api.ikk.hu/v1/media/1953" TargetMode="External"/><Relationship Id="rId152" Type="http://schemas.openxmlformats.org/officeDocument/2006/relationships/hyperlink" Target="https://api.ikk.hu/v1/media/2729" TargetMode="External"/><Relationship Id="rId173" Type="http://schemas.openxmlformats.org/officeDocument/2006/relationships/hyperlink" Target="https://api.ikk.hu/v1/media/2621" TargetMode="External"/><Relationship Id="rId194" Type="http://schemas.openxmlformats.org/officeDocument/2006/relationships/hyperlink" Target="https://api.ikk.hu/v1/media/1959" TargetMode="External"/><Relationship Id="rId208" Type="http://schemas.openxmlformats.org/officeDocument/2006/relationships/hyperlink" Target="https://api.ikk.hu/v1/media/2624" TargetMode="External"/><Relationship Id="rId229" Type="http://schemas.openxmlformats.org/officeDocument/2006/relationships/hyperlink" Target="https://api.ikk.hu/v1/media/1911" TargetMode="External"/><Relationship Id="rId240" Type="http://schemas.openxmlformats.org/officeDocument/2006/relationships/hyperlink" Target="https://api.ikk.hu/v1/media/1865" TargetMode="External"/><Relationship Id="rId261" Type="http://schemas.openxmlformats.org/officeDocument/2006/relationships/hyperlink" Target="https://api.ikk.hu/v1/media/1958" TargetMode="External"/><Relationship Id="rId14" Type="http://schemas.openxmlformats.org/officeDocument/2006/relationships/hyperlink" Target="https://api.ikk.hu/v1/media/2738" TargetMode="External"/><Relationship Id="rId35" Type="http://schemas.openxmlformats.org/officeDocument/2006/relationships/hyperlink" Target="https://api.ikk.hu/v1/media/2808" TargetMode="External"/><Relationship Id="rId56" Type="http://schemas.openxmlformats.org/officeDocument/2006/relationships/hyperlink" Target="https://api.ikk.hu/v1/media/2775" TargetMode="External"/><Relationship Id="rId77" Type="http://schemas.openxmlformats.org/officeDocument/2006/relationships/hyperlink" Target="https://api.ikk.hu/v1/media/2825" TargetMode="External"/><Relationship Id="rId100" Type="http://schemas.openxmlformats.org/officeDocument/2006/relationships/hyperlink" Target="https://api.ikk.hu/v1/media/2655" TargetMode="External"/><Relationship Id="rId282" Type="http://schemas.openxmlformats.org/officeDocument/2006/relationships/hyperlink" Target="https://api.ikk.hu/v1/media/2692" TargetMode="External"/><Relationship Id="rId317" Type="http://schemas.openxmlformats.org/officeDocument/2006/relationships/hyperlink" Target="https://api.ikk.hu/v1/media/2636" TargetMode="External"/><Relationship Id="rId338" Type="http://schemas.openxmlformats.org/officeDocument/2006/relationships/hyperlink" Target="https://api.ikk.hu/v1/media/2708" TargetMode="External"/><Relationship Id="rId359" Type="http://schemas.openxmlformats.org/officeDocument/2006/relationships/hyperlink" Target="https://api.ikk.hu/v1/media/2832" TargetMode="External"/><Relationship Id="rId8" Type="http://schemas.openxmlformats.org/officeDocument/2006/relationships/hyperlink" Target="https://api.ikk.hu/v1/media/2756" TargetMode="External"/><Relationship Id="rId98" Type="http://schemas.openxmlformats.org/officeDocument/2006/relationships/hyperlink" Target="https://api.ikk.hu/v1/media/2652" TargetMode="External"/><Relationship Id="rId121" Type="http://schemas.openxmlformats.org/officeDocument/2006/relationships/hyperlink" Target="https://api.ikk.hu/v1/media/2683" TargetMode="External"/><Relationship Id="rId142" Type="http://schemas.openxmlformats.org/officeDocument/2006/relationships/hyperlink" Target="https://api.ikk.hu/v1/media/1937" TargetMode="External"/><Relationship Id="rId163" Type="http://schemas.openxmlformats.org/officeDocument/2006/relationships/hyperlink" Target="https://api.ikk.hu/v1/media/1887" TargetMode="External"/><Relationship Id="rId184" Type="http://schemas.openxmlformats.org/officeDocument/2006/relationships/hyperlink" Target="https://api.ikk.hu/v1/media/1835" TargetMode="External"/><Relationship Id="rId219" Type="http://schemas.openxmlformats.org/officeDocument/2006/relationships/hyperlink" Target="https://api.ikk.hu/v1/media/1827" TargetMode="External"/><Relationship Id="rId230" Type="http://schemas.openxmlformats.org/officeDocument/2006/relationships/hyperlink" Target="https://api.ikk.hu/v1/media/1881" TargetMode="External"/><Relationship Id="rId251" Type="http://schemas.openxmlformats.org/officeDocument/2006/relationships/hyperlink" Target="https://api.ikk.hu/v1/media/1916" TargetMode="External"/><Relationship Id="rId25" Type="http://schemas.openxmlformats.org/officeDocument/2006/relationships/hyperlink" Target="https://api.ikk.hu/v1/media/2767" TargetMode="External"/><Relationship Id="rId46" Type="http://schemas.openxmlformats.org/officeDocument/2006/relationships/hyperlink" Target="https://api.ikk.hu/v1/media/2648" TargetMode="External"/><Relationship Id="rId67" Type="http://schemas.openxmlformats.org/officeDocument/2006/relationships/hyperlink" Target="https://api.ikk.hu/v1/media/2807" TargetMode="External"/><Relationship Id="rId272" Type="http://schemas.openxmlformats.org/officeDocument/2006/relationships/hyperlink" Target="https://api.ikk.hu/v1/media/2764" TargetMode="External"/><Relationship Id="rId293" Type="http://schemas.openxmlformats.org/officeDocument/2006/relationships/hyperlink" Target="https://api.ikk.hu/v1/media/2641" TargetMode="External"/><Relationship Id="rId307" Type="http://schemas.openxmlformats.org/officeDocument/2006/relationships/hyperlink" Target="https://api.ikk.hu/v1/media/1851" TargetMode="External"/><Relationship Id="rId328" Type="http://schemas.openxmlformats.org/officeDocument/2006/relationships/hyperlink" Target="https://api.ikk.hu/v1/media/2608" TargetMode="External"/><Relationship Id="rId349" Type="http://schemas.openxmlformats.org/officeDocument/2006/relationships/hyperlink" Target="https://api.ikk.hu/v1/media/1866" TargetMode="External"/><Relationship Id="rId88" Type="http://schemas.openxmlformats.org/officeDocument/2006/relationships/hyperlink" Target="https://api.ikk.hu/v1/media/2670" TargetMode="External"/><Relationship Id="rId111" Type="http://schemas.openxmlformats.org/officeDocument/2006/relationships/hyperlink" Target="https://api.ikk.hu/v1/media/1988" TargetMode="External"/><Relationship Id="rId132" Type="http://schemas.openxmlformats.org/officeDocument/2006/relationships/hyperlink" Target="https://api.ikk.hu/v1/media/2784" TargetMode="External"/><Relationship Id="rId153" Type="http://schemas.openxmlformats.org/officeDocument/2006/relationships/hyperlink" Target="https://api.ikk.hu/v1/media/2727" TargetMode="External"/><Relationship Id="rId174" Type="http://schemas.openxmlformats.org/officeDocument/2006/relationships/hyperlink" Target="https://api.ikk.hu/v1/media/2726" TargetMode="External"/><Relationship Id="rId195" Type="http://schemas.openxmlformats.org/officeDocument/2006/relationships/hyperlink" Target="https://api.ikk.hu/v1/media/1808" TargetMode="External"/><Relationship Id="rId209" Type="http://schemas.openxmlformats.org/officeDocument/2006/relationships/hyperlink" Target="https://api.ikk.hu/v1/media/2627" TargetMode="External"/><Relationship Id="rId360" Type="http://schemas.openxmlformats.org/officeDocument/2006/relationships/hyperlink" Target="https://api.ikk.hu/v1/media/1892" TargetMode="External"/><Relationship Id="rId220" Type="http://schemas.openxmlformats.org/officeDocument/2006/relationships/hyperlink" Target="https://api.ikk.hu/v1/media/1829" TargetMode="External"/><Relationship Id="rId241" Type="http://schemas.openxmlformats.org/officeDocument/2006/relationships/hyperlink" Target="https://api.ikk.hu/v1/media/1932" TargetMode="External"/><Relationship Id="rId15" Type="http://schemas.openxmlformats.org/officeDocument/2006/relationships/hyperlink" Target="https://api.ikk.hu/v1/media/2734" TargetMode="External"/><Relationship Id="rId36" Type="http://schemas.openxmlformats.org/officeDocument/2006/relationships/hyperlink" Target="https://api.ikk.hu/v1/media/2800" TargetMode="External"/><Relationship Id="rId57" Type="http://schemas.openxmlformats.org/officeDocument/2006/relationships/hyperlink" Target="https://api.ikk.hu/v1/media/2774" TargetMode="External"/><Relationship Id="rId106" Type="http://schemas.openxmlformats.org/officeDocument/2006/relationships/hyperlink" Target="https://api.ikk.hu/v1/media/1861" TargetMode="External"/><Relationship Id="rId127" Type="http://schemas.openxmlformats.org/officeDocument/2006/relationships/hyperlink" Target="https://api.ikk.hu/v1/media/2681" TargetMode="External"/><Relationship Id="rId262" Type="http://schemas.openxmlformats.org/officeDocument/2006/relationships/hyperlink" Target="https://api.ikk.hu/v1/media/1797" TargetMode="External"/><Relationship Id="rId283" Type="http://schemas.openxmlformats.org/officeDocument/2006/relationships/hyperlink" Target="https://api.ikk.hu/v1/media/2828" TargetMode="External"/><Relationship Id="rId313" Type="http://schemas.openxmlformats.org/officeDocument/2006/relationships/hyperlink" Target="https://api.ikk.hu/v1/media/1939" TargetMode="External"/><Relationship Id="rId318" Type="http://schemas.openxmlformats.org/officeDocument/2006/relationships/hyperlink" Target="https://api.ikk.hu/v1/media/2642" TargetMode="External"/><Relationship Id="rId339" Type="http://schemas.openxmlformats.org/officeDocument/2006/relationships/hyperlink" Target="https://api.ikk.hu/v1/media/2606" TargetMode="External"/><Relationship Id="rId10" Type="http://schemas.openxmlformats.org/officeDocument/2006/relationships/hyperlink" Target="https://api.ikk.hu/v1/media/2785" TargetMode="External"/><Relationship Id="rId31" Type="http://schemas.openxmlformats.org/officeDocument/2006/relationships/hyperlink" Target="https://api.ikk.hu/v1/media/2739" TargetMode="External"/><Relationship Id="rId52" Type="http://schemas.openxmlformats.org/officeDocument/2006/relationships/hyperlink" Target="https://api.ikk.hu/v1/media/2696" TargetMode="External"/><Relationship Id="rId73" Type="http://schemas.openxmlformats.org/officeDocument/2006/relationships/hyperlink" Target="https://api.ikk.hu/v1/media/2792" TargetMode="External"/><Relationship Id="rId78" Type="http://schemas.openxmlformats.org/officeDocument/2006/relationships/hyperlink" Target="https://api.ikk.hu/v1/media/2669" TargetMode="External"/><Relationship Id="rId94" Type="http://schemas.openxmlformats.org/officeDocument/2006/relationships/hyperlink" Target="https://api.ikk.hu/v1/media/2673" TargetMode="External"/><Relationship Id="rId99" Type="http://schemas.openxmlformats.org/officeDocument/2006/relationships/hyperlink" Target="https://api.ikk.hu/v1/media/2653" TargetMode="External"/><Relationship Id="rId101" Type="http://schemas.openxmlformats.org/officeDocument/2006/relationships/hyperlink" Target="https://api.ikk.hu/v1/media/2654" TargetMode="External"/><Relationship Id="rId122" Type="http://schemas.openxmlformats.org/officeDocument/2006/relationships/hyperlink" Target="https://api.ikk.hu/v1/media/2684" TargetMode="External"/><Relationship Id="rId143" Type="http://schemas.openxmlformats.org/officeDocument/2006/relationships/hyperlink" Target="https://api.ikk.hu/v1/media/1924" TargetMode="External"/><Relationship Id="rId148" Type="http://schemas.openxmlformats.org/officeDocument/2006/relationships/hyperlink" Target="https://api.ikk.hu/v1/media/1869" TargetMode="External"/><Relationship Id="rId164" Type="http://schemas.openxmlformats.org/officeDocument/2006/relationships/hyperlink" Target="https://api.ikk.hu/v1/media/1882" TargetMode="External"/><Relationship Id="rId169" Type="http://schemas.openxmlformats.org/officeDocument/2006/relationships/hyperlink" Target="https://api.ikk.hu/v1/media/1858" TargetMode="External"/><Relationship Id="rId185" Type="http://schemas.openxmlformats.org/officeDocument/2006/relationships/hyperlink" Target="https://api.ikk.hu/v1/media/1836" TargetMode="External"/><Relationship Id="rId334" Type="http://schemas.openxmlformats.org/officeDocument/2006/relationships/hyperlink" Target="https://api.ikk.hu/v1/media/2702" TargetMode="External"/><Relationship Id="rId350" Type="http://schemas.openxmlformats.org/officeDocument/2006/relationships/hyperlink" Target="https://api.ikk.hu/v1/media/1879" TargetMode="External"/><Relationship Id="rId355" Type="http://schemas.openxmlformats.org/officeDocument/2006/relationships/hyperlink" Target="https://api.ikk.hu/v1/media/1905" TargetMode="External"/><Relationship Id="rId4" Type="http://schemas.openxmlformats.org/officeDocument/2006/relationships/hyperlink" Target="https://api.ikk.hu/v1/media/2791" TargetMode="External"/><Relationship Id="rId9" Type="http://schemas.openxmlformats.org/officeDocument/2006/relationships/hyperlink" Target="https://api.ikk.hu/v1/media/2750" TargetMode="External"/><Relationship Id="rId180" Type="http://schemas.openxmlformats.org/officeDocument/2006/relationships/hyperlink" Target="https://api.ikk.hu/v1/media/1804" TargetMode="External"/><Relationship Id="rId210" Type="http://schemas.openxmlformats.org/officeDocument/2006/relationships/hyperlink" Target="https://api.ikk.hu/v1/media/2625" TargetMode="External"/><Relationship Id="rId215" Type="http://schemas.openxmlformats.org/officeDocument/2006/relationships/hyperlink" Target="https://api.ikk.hu/v1/media/1823" TargetMode="External"/><Relationship Id="rId236" Type="http://schemas.openxmlformats.org/officeDocument/2006/relationships/hyperlink" Target="https://api.ikk.hu/v1/media/1929" TargetMode="External"/><Relationship Id="rId257" Type="http://schemas.openxmlformats.org/officeDocument/2006/relationships/hyperlink" Target="https://api.ikk.hu/v1/media/1867" TargetMode="External"/><Relationship Id="rId278" Type="http://schemas.openxmlformats.org/officeDocument/2006/relationships/hyperlink" Target="https://api.ikk.hu/v1/media/2770" TargetMode="External"/><Relationship Id="rId26" Type="http://schemas.openxmlformats.org/officeDocument/2006/relationships/hyperlink" Target="https://api.ikk.hu/v1/media/2741" TargetMode="External"/><Relationship Id="rId231" Type="http://schemas.openxmlformats.org/officeDocument/2006/relationships/hyperlink" Target="https://api.ikk.hu/v1/media/1936" TargetMode="External"/><Relationship Id="rId252" Type="http://schemas.openxmlformats.org/officeDocument/2006/relationships/hyperlink" Target="https://api.ikk.hu/v1/media/1917" TargetMode="External"/><Relationship Id="rId273" Type="http://schemas.openxmlformats.org/officeDocument/2006/relationships/hyperlink" Target="https://api.ikk.hu/v1/media/2765" TargetMode="External"/><Relationship Id="rId294" Type="http://schemas.openxmlformats.org/officeDocument/2006/relationships/hyperlink" Target="https://api.ikk.hu/v1/media/1894" TargetMode="External"/><Relationship Id="rId308" Type="http://schemas.openxmlformats.org/officeDocument/2006/relationships/hyperlink" Target="https://api.ikk.hu/v1/media/1934" TargetMode="External"/><Relationship Id="rId329" Type="http://schemas.openxmlformats.org/officeDocument/2006/relationships/hyperlink" Target="https://api.ikk.hu/v1/media/2607" TargetMode="External"/><Relationship Id="rId47" Type="http://schemas.openxmlformats.org/officeDocument/2006/relationships/hyperlink" Target="https://api.ikk.hu/v1/media/2649" TargetMode="External"/><Relationship Id="rId68" Type="http://schemas.openxmlformats.org/officeDocument/2006/relationships/hyperlink" Target="https://api.ikk.hu/v1/media/2814" TargetMode="External"/><Relationship Id="rId89" Type="http://schemas.openxmlformats.org/officeDocument/2006/relationships/hyperlink" Target="https://api.ikk.hu/v1/media/2662" TargetMode="External"/><Relationship Id="rId112" Type="http://schemas.openxmlformats.org/officeDocument/2006/relationships/hyperlink" Target="https://api.ikk.hu/v1/media/1985" TargetMode="External"/><Relationship Id="rId133" Type="http://schemas.openxmlformats.org/officeDocument/2006/relationships/hyperlink" Target="https://api.ikk.hu/v1/media/2824" TargetMode="External"/><Relationship Id="rId154" Type="http://schemas.openxmlformats.org/officeDocument/2006/relationships/hyperlink" Target="https://api.ikk.hu/v1/media/2728" TargetMode="External"/><Relationship Id="rId175" Type="http://schemas.openxmlformats.org/officeDocument/2006/relationships/hyperlink" Target="https://api.ikk.hu/v1/media/1799" TargetMode="External"/><Relationship Id="rId340" Type="http://schemas.openxmlformats.org/officeDocument/2006/relationships/hyperlink" Target="https://api.ikk.hu/v1/media/2704" TargetMode="External"/><Relationship Id="rId361" Type="http://schemas.openxmlformats.org/officeDocument/2006/relationships/hyperlink" Target="https://api.ikk.hu/v1/media/1849" TargetMode="External"/><Relationship Id="rId196" Type="http://schemas.openxmlformats.org/officeDocument/2006/relationships/hyperlink" Target="https://api.ikk.hu/v1/media/1809" TargetMode="External"/><Relationship Id="rId200" Type="http://schemas.openxmlformats.org/officeDocument/2006/relationships/hyperlink" Target="https://api.ikk.hu/v1/media/1813" TargetMode="External"/><Relationship Id="rId16" Type="http://schemas.openxmlformats.org/officeDocument/2006/relationships/hyperlink" Target="https://api.ikk.hu/v1/media/2736" TargetMode="External"/><Relationship Id="rId221" Type="http://schemas.openxmlformats.org/officeDocument/2006/relationships/hyperlink" Target="https://api.ikk.hu/v1/media/1831" TargetMode="External"/><Relationship Id="rId242" Type="http://schemas.openxmlformats.org/officeDocument/2006/relationships/hyperlink" Target="https://api.ikk.hu/v1/media/1888" TargetMode="External"/><Relationship Id="rId263" Type="http://schemas.openxmlformats.org/officeDocument/2006/relationships/hyperlink" Target="https://api.ikk.hu/v1/media/1896" TargetMode="External"/><Relationship Id="rId284" Type="http://schemas.openxmlformats.org/officeDocument/2006/relationships/hyperlink" Target="https://api.ikk.hu/v1/media/2710" TargetMode="External"/><Relationship Id="rId319" Type="http://schemas.openxmlformats.org/officeDocument/2006/relationships/hyperlink" Target="https://api.ikk.hu/v1/media/2701" TargetMode="External"/><Relationship Id="rId37" Type="http://schemas.openxmlformats.org/officeDocument/2006/relationships/hyperlink" Target="https://api.ikk.hu/v1/media/2803" TargetMode="External"/><Relationship Id="rId58" Type="http://schemas.openxmlformats.org/officeDocument/2006/relationships/hyperlink" Target="https://api.ikk.hu/v1/media/2678" TargetMode="External"/><Relationship Id="rId79" Type="http://schemas.openxmlformats.org/officeDocument/2006/relationships/hyperlink" Target="https://api.ikk.hu/v1/media/2661" TargetMode="External"/><Relationship Id="rId102" Type="http://schemas.openxmlformats.org/officeDocument/2006/relationships/hyperlink" Target="https://api.ikk.hu/v1/media/2689" TargetMode="External"/><Relationship Id="rId123" Type="http://schemas.openxmlformats.org/officeDocument/2006/relationships/hyperlink" Target="https://api.ikk.hu/v1/media/2685" TargetMode="External"/><Relationship Id="rId144" Type="http://schemas.openxmlformats.org/officeDocument/2006/relationships/hyperlink" Target="https://api.ikk.hu/v1/media/1912" TargetMode="External"/><Relationship Id="rId330" Type="http://schemas.openxmlformats.org/officeDocument/2006/relationships/hyperlink" Target="https://api.ikk.hu/v1/media/2709" TargetMode="External"/><Relationship Id="rId90" Type="http://schemas.openxmlformats.org/officeDocument/2006/relationships/hyperlink" Target="https://api.ikk.hu/v1/media/2667" TargetMode="External"/><Relationship Id="rId165" Type="http://schemas.openxmlformats.org/officeDocument/2006/relationships/hyperlink" Target="https://api.ikk.hu/v1/media/1871" TargetMode="External"/><Relationship Id="rId186" Type="http://schemas.openxmlformats.org/officeDocument/2006/relationships/hyperlink" Target="https://api.ikk.hu/v1/media/1837" TargetMode="External"/><Relationship Id="rId351" Type="http://schemas.openxmlformats.org/officeDocument/2006/relationships/hyperlink" Target="https://api.ikk.hu/v1/media/1850" TargetMode="External"/><Relationship Id="rId211" Type="http://schemas.openxmlformats.org/officeDocument/2006/relationships/hyperlink" Target="https://api.ikk.hu/v1/media/2827" TargetMode="External"/><Relationship Id="rId232" Type="http://schemas.openxmlformats.org/officeDocument/2006/relationships/hyperlink" Target="https://api.ikk.hu/v1/media/1901" TargetMode="External"/><Relationship Id="rId253" Type="http://schemas.openxmlformats.org/officeDocument/2006/relationships/hyperlink" Target="https://api.ikk.hu/v1/media/1895" TargetMode="External"/><Relationship Id="rId274" Type="http://schemas.openxmlformats.org/officeDocument/2006/relationships/hyperlink" Target="https://api.ikk.hu/v1/media/2762" TargetMode="External"/><Relationship Id="rId295" Type="http://schemas.openxmlformats.org/officeDocument/2006/relationships/hyperlink" Target="https://api.ikk.hu/v1/media/2639" TargetMode="External"/><Relationship Id="rId309" Type="http://schemas.openxmlformats.org/officeDocument/2006/relationships/hyperlink" Target="https://api.ikk.hu/v1/media/1925" TargetMode="External"/><Relationship Id="rId27" Type="http://schemas.openxmlformats.org/officeDocument/2006/relationships/hyperlink" Target="https://api.ikk.hu/v1/media/2793" TargetMode="External"/><Relationship Id="rId48" Type="http://schemas.openxmlformats.org/officeDocument/2006/relationships/hyperlink" Target="https://api.ikk.hu/v1/media/2650" TargetMode="External"/><Relationship Id="rId69" Type="http://schemas.openxmlformats.org/officeDocument/2006/relationships/hyperlink" Target="https://api.ikk.hu/v1/media/2812" TargetMode="External"/><Relationship Id="rId113" Type="http://schemas.openxmlformats.org/officeDocument/2006/relationships/hyperlink" Target="https://api.ikk.hu/v1/media/1919" TargetMode="External"/><Relationship Id="rId134" Type="http://schemas.openxmlformats.org/officeDocument/2006/relationships/hyperlink" Target="https://api.ikk.hu/v1/media/2733" TargetMode="External"/><Relationship Id="rId320" Type="http://schemas.openxmlformats.org/officeDocument/2006/relationships/hyperlink" Target="https://api.ikk.hu/v1/media/2605" TargetMode="External"/><Relationship Id="rId80" Type="http://schemas.openxmlformats.org/officeDocument/2006/relationships/hyperlink" Target="https://api.ikk.hu/v1/media/2820" TargetMode="External"/><Relationship Id="rId155" Type="http://schemas.openxmlformats.org/officeDocument/2006/relationships/hyperlink" Target="https://api.ikk.hu/v1/media/2622" TargetMode="External"/><Relationship Id="rId176" Type="http://schemas.openxmlformats.org/officeDocument/2006/relationships/hyperlink" Target="https://api.ikk.hu/v1/media/1800" TargetMode="External"/><Relationship Id="rId197" Type="http://schemas.openxmlformats.org/officeDocument/2006/relationships/hyperlink" Target="https://api.ikk.hu/v1/media/1810" TargetMode="External"/><Relationship Id="rId341" Type="http://schemas.openxmlformats.org/officeDocument/2006/relationships/hyperlink" Target="https://api.ikk.hu/v1/media/2705" TargetMode="External"/><Relationship Id="rId362" Type="http://schemas.openxmlformats.org/officeDocument/2006/relationships/hyperlink" Target="https://api.ikk.hu/v1/media/1920" TargetMode="External"/><Relationship Id="rId201" Type="http://schemas.openxmlformats.org/officeDocument/2006/relationships/hyperlink" Target="https://api.ikk.hu/v1/media/1814" TargetMode="External"/><Relationship Id="rId222" Type="http://schemas.openxmlformats.org/officeDocument/2006/relationships/hyperlink" Target="https://api.ikk.hu/v1/media/1962" TargetMode="External"/><Relationship Id="rId243" Type="http://schemas.openxmlformats.org/officeDocument/2006/relationships/hyperlink" Target="https://api.ikk.hu/v1/media/1970" TargetMode="External"/><Relationship Id="rId264" Type="http://schemas.openxmlformats.org/officeDocument/2006/relationships/hyperlink" Target="https://api.ikk.hu/v1/media/1952" TargetMode="External"/><Relationship Id="rId285" Type="http://schemas.openxmlformats.org/officeDocument/2006/relationships/hyperlink" Target="https://api.ikk.hu/v1/media/2645" TargetMode="External"/><Relationship Id="rId17" Type="http://schemas.openxmlformats.org/officeDocument/2006/relationships/hyperlink" Target="https://api.ikk.hu/v1/media/2737" TargetMode="External"/><Relationship Id="rId38" Type="http://schemas.openxmlformats.org/officeDocument/2006/relationships/hyperlink" Target="https://api.ikk.hu/v1/media/2806" TargetMode="External"/><Relationship Id="rId59" Type="http://schemas.openxmlformats.org/officeDocument/2006/relationships/hyperlink" Target="https://api.ikk.hu/v1/media/2811" TargetMode="External"/><Relationship Id="rId103" Type="http://schemas.openxmlformats.org/officeDocument/2006/relationships/hyperlink" Target="https://api.ikk.hu/v1/media/1966" TargetMode="External"/><Relationship Id="rId124" Type="http://schemas.openxmlformats.org/officeDocument/2006/relationships/hyperlink" Target="https://api.ikk.hu/v1/media/2679" TargetMode="External"/><Relationship Id="rId310" Type="http://schemas.openxmlformats.org/officeDocument/2006/relationships/hyperlink" Target="https://api.ikk.hu/v1/media/2731" TargetMode="External"/><Relationship Id="rId70" Type="http://schemas.openxmlformats.org/officeDocument/2006/relationships/hyperlink" Target="https://api.ikk.hu/v1/media/2688" TargetMode="External"/><Relationship Id="rId91" Type="http://schemas.openxmlformats.org/officeDocument/2006/relationships/hyperlink" Target="https://api.ikk.hu/v1/media/2677" TargetMode="External"/><Relationship Id="rId145" Type="http://schemas.openxmlformats.org/officeDocument/2006/relationships/hyperlink" Target="https://api.ikk.hu/v1/media/1968" TargetMode="External"/><Relationship Id="rId166" Type="http://schemas.openxmlformats.org/officeDocument/2006/relationships/hyperlink" Target="https://api.ikk.hu/v1/media/1910" TargetMode="External"/><Relationship Id="rId187" Type="http://schemas.openxmlformats.org/officeDocument/2006/relationships/hyperlink" Target="https://api.ikk.hu/v1/media/1807" TargetMode="External"/><Relationship Id="rId331" Type="http://schemas.openxmlformats.org/officeDocument/2006/relationships/hyperlink" Target="https://api.ikk.hu/v1/media/2602" TargetMode="External"/><Relationship Id="rId352" Type="http://schemas.openxmlformats.org/officeDocument/2006/relationships/hyperlink" Target="https://api.ikk.hu/v1/media/1949" TargetMode="External"/><Relationship Id="rId1" Type="http://schemas.openxmlformats.org/officeDocument/2006/relationships/hyperlink" Target="https://api.ikk.hu/v1/media/2690" TargetMode="External"/><Relationship Id="rId212" Type="http://schemas.openxmlformats.org/officeDocument/2006/relationships/hyperlink" Target="https://api.ikk.hu/v1/media/1820" TargetMode="External"/><Relationship Id="rId233" Type="http://schemas.openxmlformats.org/officeDocument/2006/relationships/hyperlink" Target="https://api.ikk.hu/v1/media/1955" TargetMode="External"/><Relationship Id="rId254" Type="http://schemas.openxmlformats.org/officeDocument/2006/relationships/hyperlink" Target="https://api.ikk.hu/v1/media/1921" TargetMode="External"/><Relationship Id="rId28" Type="http://schemas.openxmlformats.org/officeDocument/2006/relationships/hyperlink" Target="https://api.ikk.hu/v1/media/2744" TargetMode="External"/><Relationship Id="rId49" Type="http://schemas.openxmlformats.org/officeDocument/2006/relationships/hyperlink" Target="https://api.ikk.hu/v1/media/2651" TargetMode="External"/><Relationship Id="rId114" Type="http://schemas.openxmlformats.org/officeDocument/2006/relationships/hyperlink" Target="https://api.ikk.hu/v1/media/1878" TargetMode="External"/><Relationship Id="rId275" Type="http://schemas.openxmlformats.org/officeDocument/2006/relationships/hyperlink" Target="https://api.ikk.hu/v1/media/2771" TargetMode="External"/><Relationship Id="rId296" Type="http://schemas.openxmlformats.org/officeDocument/2006/relationships/hyperlink" Target="https://api.ikk.hu/v1/media/2644" TargetMode="External"/><Relationship Id="rId300" Type="http://schemas.openxmlformats.org/officeDocument/2006/relationships/hyperlink" Target="https://api.ikk.hu/v1/media/1841" TargetMode="External"/><Relationship Id="rId60" Type="http://schemas.openxmlformats.org/officeDocument/2006/relationships/hyperlink" Target="https://api.ikk.hu/v1/media/2802" TargetMode="External"/><Relationship Id="rId81" Type="http://schemas.openxmlformats.org/officeDocument/2006/relationships/hyperlink" Target="https://api.ikk.hu/v1/media/2660" TargetMode="External"/><Relationship Id="rId135" Type="http://schemas.openxmlformats.org/officeDocument/2006/relationships/hyperlink" Target="https://api.ikk.hu/v1/media/2732" TargetMode="External"/><Relationship Id="rId156" Type="http://schemas.openxmlformats.org/officeDocument/2006/relationships/hyperlink" Target="https://api.ikk.hu/v1/media/1964" TargetMode="External"/><Relationship Id="rId177" Type="http://schemas.openxmlformats.org/officeDocument/2006/relationships/hyperlink" Target="https://api.ikk.hu/v1/media/1801" TargetMode="External"/><Relationship Id="rId198" Type="http://schemas.openxmlformats.org/officeDocument/2006/relationships/hyperlink" Target="https://api.ikk.hu/v1/media/1811" TargetMode="External"/><Relationship Id="rId321" Type="http://schemas.openxmlformats.org/officeDocument/2006/relationships/hyperlink" Target="https://api.ikk.hu/v1/media/2613" TargetMode="External"/><Relationship Id="rId342" Type="http://schemas.openxmlformats.org/officeDocument/2006/relationships/hyperlink" Target="https://api.ikk.hu/v1/media/1842" TargetMode="External"/><Relationship Id="rId363" Type="http://schemas.openxmlformats.org/officeDocument/2006/relationships/hyperlink" Target="https://api.ikk.hu/v1/media/1868" TargetMode="External"/><Relationship Id="rId202" Type="http://schemas.openxmlformats.org/officeDocument/2006/relationships/hyperlink" Target="https://api.ikk.hu/v1/media/1815" TargetMode="External"/><Relationship Id="rId223" Type="http://schemas.openxmlformats.org/officeDocument/2006/relationships/hyperlink" Target="https://api.ikk.hu/v1/media/1918" TargetMode="External"/><Relationship Id="rId244" Type="http://schemas.openxmlformats.org/officeDocument/2006/relationships/hyperlink" Target="https://api.ikk.hu/v1/media/1915" TargetMode="External"/><Relationship Id="rId18" Type="http://schemas.openxmlformats.org/officeDocument/2006/relationships/hyperlink" Target="https://api.ikk.hu/v1/media/2758" TargetMode="External"/><Relationship Id="rId39" Type="http://schemas.openxmlformats.org/officeDocument/2006/relationships/hyperlink" Target="https://api.ikk.hu/v1/media/2799" TargetMode="External"/><Relationship Id="rId265" Type="http://schemas.openxmlformats.org/officeDocument/2006/relationships/hyperlink" Target="https://api.ikk.hu/v1/media/1877" TargetMode="External"/><Relationship Id="rId286" Type="http://schemas.openxmlformats.org/officeDocument/2006/relationships/hyperlink" Target="https://api.ikk.hu/v1/media/2629" TargetMode="External"/><Relationship Id="rId50" Type="http://schemas.openxmlformats.org/officeDocument/2006/relationships/hyperlink" Target="https://api.ikk.hu/v1/media/2778" TargetMode="External"/><Relationship Id="rId104" Type="http://schemas.openxmlformats.org/officeDocument/2006/relationships/hyperlink" Target="https://api.ikk.hu/v1/media/1922" TargetMode="External"/><Relationship Id="rId125" Type="http://schemas.openxmlformats.org/officeDocument/2006/relationships/hyperlink" Target="https://api.ikk.hu/v1/media/2682" TargetMode="External"/><Relationship Id="rId146" Type="http://schemas.openxmlformats.org/officeDocument/2006/relationships/hyperlink" Target="https://api.ikk.hu/v1/media/1870" TargetMode="External"/><Relationship Id="rId167" Type="http://schemas.openxmlformats.org/officeDocument/2006/relationships/hyperlink" Target="https://api.ikk.hu/v1/media/1857" TargetMode="External"/><Relationship Id="rId188" Type="http://schemas.openxmlformats.org/officeDocument/2006/relationships/hyperlink" Target="https://api.ikk.hu/v1/media/1974" TargetMode="External"/><Relationship Id="rId311" Type="http://schemas.openxmlformats.org/officeDocument/2006/relationships/hyperlink" Target="https://api.ikk.hu/v1/media/1853" TargetMode="External"/><Relationship Id="rId332" Type="http://schemas.openxmlformats.org/officeDocument/2006/relationships/hyperlink" Target="https://api.ikk.hu/v1/media/2703" TargetMode="External"/><Relationship Id="rId353" Type="http://schemas.openxmlformats.org/officeDocument/2006/relationships/hyperlink" Target="https://api.ikk.hu/v1/media/1938" TargetMode="External"/><Relationship Id="rId71" Type="http://schemas.openxmlformats.org/officeDocument/2006/relationships/hyperlink" Target="https://api.ikk.hu/v1/media/2687" TargetMode="External"/><Relationship Id="rId92" Type="http://schemas.openxmlformats.org/officeDocument/2006/relationships/hyperlink" Target="https://api.ikk.hu/v1/media/2671" TargetMode="External"/><Relationship Id="rId213" Type="http://schemas.openxmlformats.org/officeDocument/2006/relationships/hyperlink" Target="https://api.ikk.hu/v1/media/1821" TargetMode="External"/><Relationship Id="rId234" Type="http://schemas.openxmlformats.org/officeDocument/2006/relationships/hyperlink" Target="https://api.ikk.hu/v1/media/1963" TargetMode="External"/><Relationship Id="rId2" Type="http://schemas.openxmlformats.org/officeDocument/2006/relationships/hyperlink" Target="https://api.ikk.hu/v1/media/2790" TargetMode="External"/><Relationship Id="rId29" Type="http://schemas.openxmlformats.org/officeDocument/2006/relationships/hyperlink" Target="https://api.ikk.hu/v1/media/2830" TargetMode="External"/><Relationship Id="rId255" Type="http://schemas.openxmlformats.org/officeDocument/2006/relationships/hyperlink" Target="https://api.ikk.hu/v1/media/1950" TargetMode="External"/><Relationship Id="rId276" Type="http://schemas.openxmlformats.org/officeDocument/2006/relationships/hyperlink" Target="https://api.ikk.hu/v1/media/2766" TargetMode="External"/><Relationship Id="rId297" Type="http://schemas.openxmlformats.org/officeDocument/2006/relationships/hyperlink" Target="https://api.ikk.hu/v1/media/1838" TargetMode="External"/><Relationship Id="rId40" Type="http://schemas.openxmlformats.org/officeDocument/2006/relationships/hyperlink" Target="https://api.ikk.hu/v1/media/2810" TargetMode="External"/><Relationship Id="rId115" Type="http://schemas.openxmlformats.org/officeDocument/2006/relationships/hyperlink" Target="https://api.ikk.hu/v1/media/1909" TargetMode="External"/><Relationship Id="rId136" Type="http://schemas.openxmlformats.org/officeDocument/2006/relationships/hyperlink" Target="https://api.ikk.hu/v1/media/2614" TargetMode="External"/><Relationship Id="rId157" Type="http://schemas.openxmlformats.org/officeDocument/2006/relationships/hyperlink" Target="https://api.ikk.hu/v1/media/1943" TargetMode="External"/><Relationship Id="rId178" Type="http://schemas.openxmlformats.org/officeDocument/2006/relationships/hyperlink" Target="https://api.ikk.hu/v1/media/1802" TargetMode="External"/><Relationship Id="rId301" Type="http://schemas.openxmlformats.org/officeDocument/2006/relationships/hyperlink" Target="https://api.ikk.hu/v1/media/1848" TargetMode="External"/><Relationship Id="rId322" Type="http://schemas.openxmlformats.org/officeDocument/2006/relationships/hyperlink" Target="https://api.ikk.hu/v1/media/2612" TargetMode="External"/><Relationship Id="rId343" Type="http://schemas.openxmlformats.org/officeDocument/2006/relationships/hyperlink" Target="https://api.ikk.hu/v1/media/1843" TargetMode="External"/><Relationship Id="rId364" Type="http://schemas.openxmlformats.org/officeDocument/2006/relationships/hyperlink" Target="https://szakkepesites.ikk.hu/" TargetMode="External"/><Relationship Id="rId61" Type="http://schemas.openxmlformats.org/officeDocument/2006/relationships/hyperlink" Target="https://api.ikk.hu/v1/media/2804" TargetMode="External"/><Relationship Id="rId82" Type="http://schemas.openxmlformats.org/officeDocument/2006/relationships/hyperlink" Target="https://api.ikk.hu/v1/media/2666" TargetMode="External"/><Relationship Id="rId199" Type="http://schemas.openxmlformats.org/officeDocument/2006/relationships/hyperlink" Target="https://api.ikk.hu/v1/media/1812" TargetMode="External"/><Relationship Id="rId203" Type="http://schemas.openxmlformats.org/officeDocument/2006/relationships/hyperlink" Target="https://api.ikk.hu/v1/media/1816" TargetMode="External"/><Relationship Id="rId19" Type="http://schemas.openxmlformats.org/officeDocument/2006/relationships/hyperlink" Target="https://api.ikk.hu/v1/media/2748" TargetMode="External"/><Relationship Id="rId224" Type="http://schemas.openxmlformats.org/officeDocument/2006/relationships/hyperlink" Target="https://api.ikk.hu/v1/media/1967" TargetMode="External"/><Relationship Id="rId245" Type="http://schemas.openxmlformats.org/officeDocument/2006/relationships/hyperlink" Target="https://api.ikk.hu/v1/media/1907" TargetMode="External"/><Relationship Id="rId266" Type="http://schemas.openxmlformats.org/officeDocument/2006/relationships/hyperlink" Target="https://api.ikk.hu/v1/media/2699" TargetMode="External"/><Relationship Id="rId287" Type="http://schemas.openxmlformats.org/officeDocument/2006/relationships/hyperlink" Target="https://api.ikk.hu/v1/media/2634" TargetMode="External"/><Relationship Id="rId30" Type="http://schemas.openxmlformats.org/officeDocument/2006/relationships/hyperlink" Target="https://api.ikk.hu/v1/media/2787" TargetMode="External"/><Relationship Id="rId105" Type="http://schemas.openxmlformats.org/officeDocument/2006/relationships/hyperlink" Target="https://api.ikk.hu/v1/media/1941" TargetMode="External"/><Relationship Id="rId126" Type="http://schemas.openxmlformats.org/officeDocument/2006/relationships/hyperlink" Target="https://api.ikk.hu/v1/media/2680" TargetMode="External"/><Relationship Id="rId147" Type="http://schemas.openxmlformats.org/officeDocument/2006/relationships/hyperlink" Target="https://api.ikk.hu/v1/media/1862" TargetMode="External"/><Relationship Id="rId168" Type="http://schemas.openxmlformats.org/officeDocument/2006/relationships/hyperlink" Target="https://api.ikk.hu/v1/media/1897" TargetMode="External"/><Relationship Id="rId312" Type="http://schemas.openxmlformats.org/officeDocument/2006/relationships/hyperlink" Target="https://api.ikk.hu/v1/media/2730" TargetMode="External"/><Relationship Id="rId333" Type="http://schemas.openxmlformats.org/officeDocument/2006/relationships/hyperlink" Target="https://api.ikk.hu/v1/media/2707" TargetMode="External"/><Relationship Id="rId354" Type="http://schemas.openxmlformats.org/officeDocument/2006/relationships/hyperlink" Target="https://api.ikk.hu/v1/media/1928" TargetMode="External"/><Relationship Id="rId51" Type="http://schemas.openxmlformats.org/officeDocument/2006/relationships/hyperlink" Target="https://api.ikk.hu/v1/media/2777" TargetMode="External"/><Relationship Id="rId72" Type="http://schemas.openxmlformats.org/officeDocument/2006/relationships/hyperlink" Target="https://api.ikk.hu/v1/media/2795" TargetMode="External"/><Relationship Id="rId93" Type="http://schemas.openxmlformats.org/officeDocument/2006/relationships/hyperlink" Target="https://api.ikk.hu/v1/media/2674" TargetMode="External"/><Relationship Id="rId189" Type="http://schemas.openxmlformats.org/officeDocument/2006/relationships/hyperlink" Target="https://api.ikk.hu/v1/media/1975" TargetMode="External"/><Relationship Id="rId3" Type="http://schemas.openxmlformats.org/officeDocument/2006/relationships/hyperlink" Target="https://api.ikk.hu/v1/media/2789" TargetMode="External"/><Relationship Id="rId214" Type="http://schemas.openxmlformats.org/officeDocument/2006/relationships/hyperlink" Target="https://api.ikk.hu/v1/media/1822" TargetMode="External"/><Relationship Id="rId235" Type="http://schemas.openxmlformats.org/officeDocument/2006/relationships/hyperlink" Target="https://api.ikk.hu/v1/media/1904" TargetMode="External"/><Relationship Id="rId256" Type="http://schemas.openxmlformats.org/officeDocument/2006/relationships/hyperlink" Target="https://api.ikk.hu/v1/media/1898" TargetMode="External"/><Relationship Id="rId277" Type="http://schemas.openxmlformats.org/officeDocument/2006/relationships/hyperlink" Target="https://api.ikk.hu/v1/media/2768" TargetMode="External"/><Relationship Id="rId298" Type="http://schemas.openxmlformats.org/officeDocument/2006/relationships/hyperlink" Target="https://api.ikk.hu/v1/media/1839" TargetMode="External"/><Relationship Id="rId116" Type="http://schemas.openxmlformats.org/officeDocument/2006/relationships/hyperlink" Target="https://api.ikk.hu/v1/media/2759" TargetMode="External"/><Relationship Id="rId137" Type="http://schemas.openxmlformats.org/officeDocument/2006/relationships/hyperlink" Target="https://api.ikk.hu/v1/media/2615" TargetMode="External"/><Relationship Id="rId158" Type="http://schemas.openxmlformats.org/officeDocument/2006/relationships/hyperlink" Target="https://api.ikk.hu/v1/media/1855" TargetMode="External"/><Relationship Id="rId302" Type="http://schemas.openxmlformats.org/officeDocument/2006/relationships/hyperlink" Target="https://api.ikk.hu/v1/media/1923" TargetMode="External"/><Relationship Id="rId323" Type="http://schemas.openxmlformats.org/officeDocument/2006/relationships/hyperlink" Target="https://api.ikk.hu/v1/media/2604" TargetMode="External"/><Relationship Id="rId344" Type="http://schemas.openxmlformats.org/officeDocument/2006/relationships/hyperlink" Target="https://api.ikk.hu/v1/media/1844" TargetMode="External"/><Relationship Id="rId20" Type="http://schemas.openxmlformats.org/officeDocument/2006/relationships/hyperlink" Target="https://api.ikk.hu/v1/media/2742" TargetMode="External"/><Relationship Id="rId41" Type="http://schemas.openxmlformats.org/officeDocument/2006/relationships/hyperlink" Target="https://api.ikk.hu/v1/media/2647" TargetMode="External"/><Relationship Id="rId62" Type="http://schemas.openxmlformats.org/officeDocument/2006/relationships/hyperlink" Target="https://api.ikk.hu/v1/media/2821" TargetMode="External"/><Relationship Id="rId83" Type="http://schemas.openxmlformats.org/officeDocument/2006/relationships/hyperlink" Target="https://api.ikk.hu/v1/media/2658" TargetMode="External"/><Relationship Id="rId179" Type="http://schemas.openxmlformats.org/officeDocument/2006/relationships/hyperlink" Target="https://api.ikk.hu/v1/media/1803" TargetMode="External"/><Relationship Id="rId365" Type="http://schemas.openxmlformats.org/officeDocument/2006/relationships/printerSettings" Target="../printerSettings/printerSettings11.bin"/><Relationship Id="rId190" Type="http://schemas.openxmlformats.org/officeDocument/2006/relationships/hyperlink" Target="https://api.ikk.hu/v1/media/1806" TargetMode="External"/><Relationship Id="rId204" Type="http://schemas.openxmlformats.org/officeDocument/2006/relationships/hyperlink" Target="https://api.ikk.hu/v1/media/1817" TargetMode="External"/><Relationship Id="rId225" Type="http://schemas.openxmlformats.org/officeDocument/2006/relationships/hyperlink" Target="https://api.ikk.hu/v1/media/1874" TargetMode="External"/><Relationship Id="rId246" Type="http://schemas.openxmlformats.org/officeDocument/2006/relationships/hyperlink" Target="https://api.ikk.hu/v1/media/1854" TargetMode="External"/><Relationship Id="rId267" Type="http://schemas.openxmlformats.org/officeDocument/2006/relationships/hyperlink" Target="https://api.ikk.hu/v1/media/2698" TargetMode="External"/><Relationship Id="rId288" Type="http://schemas.openxmlformats.org/officeDocument/2006/relationships/hyperlink" Target="https://api.ikk.hu/v1/media/2633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szakkepesites.ikk.hu/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V36"/>
  <sheetViews>
    <sheetView zoomScaleNormal="100" zoomScaleSheetLayoutView="100" workbookViewId="0">
      <selection activeCell="B27" sqref="B27"/>
    </sheetView>
  </sheetViews>
  <sheetFormatPr defaultColWidth="0" defaultRowHeight="0" customHeight="1" zeroHeight="1" x14ac:dyDescent="0.25"/>
  <cols>
    <col min="1" max="1" width="3.5703125" style="24" customWidth="1"/>
    <col min="2" max="2" width="50.5703125" style="24" customWidth="1"/>
    <col min="3" max="4" width="21.42578125" style="24" customWidth="1"/>
    <col min="5" max="5" width="3.7109375" style="24" customWidth="1"/>
    <col min="6" max="18" width="9.140625" style="24" hidden="1" customWidth="1"/>
    <col min="19" max="22" width="5.7109375" style="24" hidden="1" customWidth="1"/>
    <col min="23" max="16384" width="9.140625" style="24" hidden="1"/>
  </cols>
  <sheetData>
    <row r="1" spans="1:5" ht="15.75" x14ac:dyDescent="0.25">
      <c r="A1" s="21"/>
      <c r="B1" s="22"/>
      <c r="C1" s="23"/>
      <c r="D1" s="23"/>
      <c r="E1" s="23"/>
    </row>
    <row r="2" spans="1:5" ht="113.25" customHeight="1" x14ac:dyDescent="0.25">
      <c r="A2" s="23"/>
      <c r="B2" s="333" t="s">
        <v>1935</v>
      </c>
      <c r="C2" s="333"/>
      <c r="D2" s="333"/>
      <c r="E2" s="23"/>
    </row>
    <row r="3" spans="1:5" ht="15.75" customHeight="1" x14ac:dyDescent="0.25">
      <c r="A3" s="336" t="s">
        <v>2808</v>
      </c>
      <c r="B3" s="336"/>
      <c r="C3" s="336"/>
      <c r="D3" s="336"/>
      <c r="E3" s="336"/>
    </row>
    <row r="4" spans="1:5" ht="15.75" x14ac:dyDescent="0.25">
      <c r="A4" s="23"/>
      <c r="B4" s="22"/>
      <c r="C4" s="23"/>
      <c r="D4" s="23"/>
      <c r="E4" s="23"/>
    </row>
    <row r="5" spans="1:5" ht="15.75" x14ac:dyDescent="0.25">
      <c r="A5" s="23"/>
      <c r="B5" s="25" t="s">
        <v>1936</v>
      </c>
      <c r="C5" s="23"/>
      <c r="D5" s="23"/>
      <c r="E5" s="23"/>
    </row>
    <row r="6" spans="1:5" ht="37.5" customHeight="1" x14ac:dyDescent="0.25">
      <c r="A6" s="23"/>
      <c r="B6" s="26" t="s">
        <v>384</v>
      </c>
      <c r="C6" s="334" t="str">
        <f ca="1">IFERROR(VLOOKUP(INDIRECT("Szakmai_oktatás_1!B4"),'Kedvezményezettek adatai'!$C$2:$D$51,2,0),"")</f>
        <v/>
      </c>
      <c r="D6" s="335"/>
      <c r="E6" s="23"/>
    </row>
    <row r="7" spans="1:5" ht="15.75" x14ac:dyDescent="0.25">
      <c r="A7" s="23"/>
      <c r="B7" s="26" t="s">
        <v>385</v>
      </c>
      <c r="C7" s="328" t="str">
        <f ca="1">IFERROR(VLOOKUP(C6,'Kedvezményezettek adatai'!D2:G51,4,0),"")</f>
        <v/>
      </c>
      <c r="D7" s="329"/>
      <c r="E7" s="23"/>
    </row>
    <row r="8" spans="1:5" ht="15.75" x14ac:dyDescent="0.25">
      <c r="A8" s="23"/>
      <c r="B8" s="26" t="s">
        <v>386</v>
      </c>
      <c r="C8" s="328" t="str">
        <f ca="1">IFERROR(VLOOKUP(C6,'Kedvezményezettek adatai'!$D$2:$E$51,2,0),"")</f>
        <v/>
      </c>
      <c r="D8" s="329"/>
      <c r="E8" s="23"/>
    </row>
    <row r="9" spans="1:5" ht="15.75" x14ac:dyDescent="0.25">
      <c r="A9" s="23"/>
      <c r="B9" s="26" t="s">
        <v>1879</v>
      </c>
      <c r="C9" s="334" t="str">
        <f ca="1">B32&amp;" "&amp;B33</f>
        <v xml:space="preserve"> </v>
      </c>
      <c r="D9" s="335"/>
      <c r="E9" s="23"/>
    </row>
    <row r="10" spans="1:5" ht="15.75" x14ac:dyDescent="0.25">
      <c r="A10" s="23"/>
      <c r="B10" s="26" t="s">
        <v>1866</v>
      </c>
      <c r="C10" s="328" t="s">
        <v>1892</v>
      </c>
      <c r="D10" s="329"/>
      <c r="E10" s="23"/>
    </row>
    <row r="11" spans="1:5" ht="15.75" x14ac:dyDescent="0.25">
      <c r="A11" s="23"/>
      <c r="B11" s="26" t="s">
        <v>1867</v>
      </c>
      <c r="C11" s="328" t="str">
        <f ca="1">IFERROR(VLOOKUP(C6,'Kedvezményezettek adatai'!D2:AM51,36,0),"")</f>
        <v/>
      </c>
      <c r="D11" s="329"/>
      <c r="E11" s="23"/>
    </row>
    <row r="12" spans="1:5" ht="15.75" x14ac:dyDescent="0.25">
      <c r="A12" s="23"/>
      <c r="B12" s="26" t="s">
        <v>1880</v>
      </c>
      <c r="C12" s="328" t="str">
        <f ca="1">IFERROR(VLOOKUP(C6,'Kedvezményezettek adatai'!D2:M51,10,0),"")</f>
        <v/>
      </c>
      <c r="D12" s="329"/>
      <c r="E12" s="23"/>
    </row>
    <row r="13" spans="1:5" ht="15.75" x14ac:dyDescent="0.25">
      <c r="A13" s="23"/>
      <c r="B13" s="26" t="s">
        <v>1265</v>
      </c>
      <c r="C13" s="328" t="str">
        <f ca="1">IFERROR(VLOOKUP(C6,'Kedvezményezettek adatai'!D2:N51,11,0),"")</f>
        <v/>
      </c>
      <c r="D13" s="329"/>
      <c r="E13" s="23"/>
    </row>
    <row r="14" spans="1:5" ht="37.5" customHeight="1" x14ac:dyDescent="0.25">
      <c r="A14" s="23"/>
      <c r="B14" s="22"/>
      <c r="C14" s="23"/>
      <c r="D14" s="23"/>
      <c r="E14" s="23"/>
    </row>
    <row r="15" spans="1:5" ht="63" x14ac:dyDescent="0.25">
      <c r="A15" s="23"/>
      <c r="B15" s="27" t="s">
        <v>1266</v>
      </c>
      <c r="C15" s="28" t="s">
        <v>1937</v>
      </c>
      <c r="D15" s="28" t="s">
        <v>1938</v>
      </c>
      <c r="E15" s="23"/>
    </row>
    <row r="16" spans="1:5" ht="15.75" x14ac:dyDescent="0.25">
      <c r="A16" s="23"/>
      <c r="B16" s="53" t="s">
        <v>1804</v>
      </c>
      <c r="C16" s="30">
        <f>Szakmai_oktatás_1!F2+Szakmai_oktatás_1!G2</f>
        <v>0</v>
      </c>
      <c r="D16" s="30">
        <f>ROUND(Szakmai_oktatás_1!M2,-3)</f>
        <v>0</v>
      </c>
      <c r="E16" s="23"/>
    </row>
    <row r="17" spans="1:5" ht="15.75" x14ac:dyDescent="0.25">
      <c r="A17" s="23"/>
      <c r="B17" s="53" t="s">
        <v>1805</v>
      </c>
      <c r="C17" s="30">
        <f>IFERROR(Szakmai_képzés_1!J2+Szakmai_képzés_1!K2,0)</f>
        <v>0</v>
      </c>
      <c r="D17" s="30">
        <f>IFERROR(ROUND(Szakmai_képzés_1!Q2,-3),0)</f>
        <v>0</v>
      </c>
      <c r="E17" s="23"/>
    </row>
    <row r="18" spans="1:5" ht="15.75" x14ac:dyDescent="0.25">
      <c r="A18" s="23"/>
      <c r="B18" s="29" t="s">
        <v>1806</v>
      </c>
      <c r="C18" s="30">
        <f>IFERROR(Egyéb_képzés_1!F2,0)</f>
        <v>0</v>
      </c>
      <c r="D18" s="30">
        <f>IFERROR(ROUND(Egyéb_képzés_1!I2,-3),0)</f>
        <v>0</v>
      </c>
      <c r="E18" s="23"/>
    </row>
    <row r="19" spans="1:5" ht="15.75" customHeight="1" x14ac:dyDescent="0.25">
      <c r="A19" s="23"/>
      <c r="B19" s="29" t="s">
        <v>2410</v>
      </c>
      <c r="C19" s="30">
        <f>'Felnőttokt._Szakk.+Egyéb_képz_1'!G2</f>
        <v>0</v>
      </c>
      <c r="D19" s="30">
        <f>ROUND('Felnőttokt._Szakk.+Egyéb_képz_1'!O2,-3)</f>
        <v>0</v>
      </c>
      <c r="E19" s="23"/>
    </row>
    <row r="20" spans="1:5" ht="15.75" x14ac:dyDescent="0.25">
      <c r="A20" s="23"/>
      <c r="B20" s="91" t="s">
        <v>1939</v>
      </c>
      <c r="C20" s="92">
        <f>SUM(C16:C19)</f>
        <v>0</v>
      </c>
      <c r="D20" s="92">
        <f>SUM(D16:D19)</f>
        <v>0</v>
      </c>
      <c r="E20" s="23"/>
    </row>
    <row r="21" spans="1:5" ht="15.75" x14ac:dyDescent="0.25">
      <c r="A21" s="23"/>
      <c r="B21" s="104"/>
      <c r="C21" s="105"/>
      <c r="D21" s="105"/>
      <c r="E21" s="23"/>
    </row>
    <row r="22" spans="1:5" ht="15.75" x14ac:dyDescent="0.25">
      <c r="A22" s="23"/>
      <c r="B22" s="162" t="e">
        <f ca="1">VLOOKUP(C6,'Kedvezményezettek adatai'!$D$2:$T$51,17,0)&amp;", 2021. január"</f>
        <v>#N/A</v>
      </c>
      <c r="C22" s="105"/>
      <c r="D22" s="105"/>
      <c r="E22" s="23"/>
    </row>
    <row r="23" spans="1:5" ht="15.75" x14ac:dyDescent="0.25">
      <c r="A23" s="23"/>
      <c r="B23" s="22"/>
      <c r="C23" s="23"/>
      <c r="D23" s="23"/>
      <c r="E23" s="23"/>
    </row>
    <row r="24" spans="1:5" ht="15.75" x14ac:dyDescent="0.25">
      <c r="A24" s="23"/>
      <c r="B24" s="271" t="s">
        <v>1881</v>
      </c>
      <c r="C24" s="271"/>
      <c r="D24" s="271"/>
      <c r="E24" s="23"/>
    </row>
    <row r="25" spans="1:5" ht="15.75" x14ac:dyDescent="0.25">
      <c r="A25" s="23"/>
      <c r="B25" s="54" t="s">
        <v>1877</v>
      </c>
      <c r="C25" s="271"/>
      <c r="D25" s="271"/>
      <c r="E25" s="23"/>
    </row>
    <row r="26" spans="1:5" ht="15.75" x14ac:dyDescent="0.25">
      <c r="A26" s="23"/>
      <c r="B26" s="54" t="str">
        <f>"2. "&amp;IF(C17&gt;0,"Szakmai képzés részletes adatai",IF(C18&gt;0,"Egyéb képzés részletes adatai",IF(AND(C17=0,C18=0),"Felnőttoktatás részletes adatai")))</f>
        <v>2. Felnőttoktatás részletes adatai</v>
      </c>
      <c r="C26" s="271"/>
      <c r="D26" s="271"/>
      <c r="E26" s="23"/>
    </row>
    <row r="27" spans="1:5" ht="15.75" x14ac:dyDescent="0.25">
      <c r="A27" s="23"/>
      <c r="B27" s="54" t="str">
        <f>IF(AND(C17&gt;0,C18&gt;0),"3. Egyéb képzés részletes adatai",IF(OR(AND(C17=0,C18&gt;0),AND(C17&gt;0,C18=0)),"3. Felnőttoktatás részletes adatai",""))</f>
        <v/>
      </c>
      <c r="C27" s="271"/>
      <c r="D27" s="271"/>
      <c r="E27" s="23"/>
    </row>
    <row r="28" spans="1:5" ht="15.75" x14ac:dyDescent="0.25">
      <c r="A28" s="23"/>
      <c r="B28" s="54" t="str">
        <f>IF(AND(C17&gt;0,C18&gt;0),"4. Felnőttoktatás részletes adatai","")</f>
        <v/>
      </c>
      <c r="C28" s="271"/>
      <c r="D28" s="271"/>
      <c r="E28" s="23"/>
    </row>
    <row r="29" spans="1:5" ht="33" customHeight="1" x14ac:dyDescent="0.25">
      <c r="A29" s="23"/>
      <c r="B29" s="272"/>
      <c r="C29" s="23"/>
      <c r="D29" s="23"/>
      <c r="E29" s="23"/>
    </row>
    <row r="30" spans="1:5" ht="15.75" x14ac:dyDescent="0.25">
      <c r="A30" s="23"/>
      <c r="B30" s="273" t="s">
        <v>864</v>
      </c>
      <c r="C30" s="274"/>
      <c r="D30" s="274"/>
      <c r="E30" s="23"/>
    </row>
    <row r="31" spans="1:5" ht="15.75" x14ac:dyDescent="0.25">
      <c r="A31" s="23"/>
      <c r="B31" s="330" t="s">
        <v>1267</v>
      </c>
      <c r="C31" s="330"/>
      <c r="D31" s="330"/>
      <c r="E31" s="23"/>
    </row>
    <row r="32" spans="1:5" ht="15.75" x14ac:dyDescent="0.25">
      <c r="A32" s="23"/>
      <c r="B32" s="331" t="str">
        <f ca="1">IFERROR(VLOOKUP(B34,'Kedvezményezettek adatai'!$D$2:$H$51,5,0),"")</f>
        <v/>
      </c>
      <c r="C32" s="331"/>
      <c r="D32" s="331"/>
      <c r="E32" s="23"/>
    </row>
    <row r="33" spans="1:5" ht="15.75" x14ac:dyDescent="0.25">
      <c r="A33" s="23"/>
      <c r="B33" s="332" t="str">
        <f ca="1">IFERROR(VLOOKUP(B34,'Kedvezményezettek adatai'!$D$2:$I$51,6,0),"")</f>
        <v/>
      </c>
      <c r="C33" s="332"/>
      <c r="D33" s="332"/>
      <c r="E33" s="23"/>
    </row>
    <row r="34" spans="1:5" ht="33.75" customHeight="1" x14ac:dyDescent="0.25">
      <c r="A34" s="23"/>
      <c r="B34" s="327" t="str">
        <f ca="1">IFERROR(IF(C6="","",C6),"")</f>
        <v/>
      </c>
      <c r="C34" s="327"/>
      <c r="D34" s="327"/>
      <c r="E34" s="23"/>
    </row>
    <row r="35" spans="1:5" ht="15" hidden="1" customHeight="1" x14ac:dyDescent="0.25"/>
    <row r="36" spans="1:5" ht="15" hidden="1" customHeight="1" x14ac:dyDescent="0.25"/>
  </sheetData>
  <mergeCells count="14">
    <mergeCell ref="C10:D10"/>
    <mergeCell ref="B2:D2"/>
    <mergeCell ref="C6:D6"/>
    <mergeCell ref="C7:D7"/>
    <mergeCell ref="C8:D8"/>
    <mergeCell ref="C9:D9"/>
    <mergeCell ref="A3:E3"/>
    <mergeCell ref="B34:D34"/>
    <mergeCell ref="C11:D11"/>
    <mergeCell ref="C12:D12"/>
    <mergeCell ref="C13:D13"/>
    <mergeCell ref="B31:D31"/>
    <mergeCell ref="B32:D32"/>
    <mergeCell ref="B33:D33"/>
  </mergeCells>
  <conditionalFormatting sqref="C12:C13">
    <cfRule type="containsBlanks" dxfId="393" priority="3">
      <formula>LEN(TRIM(C12))=0</formula>
    </cfRule>
  </conditionalFormatting>
  <conditionalFormatting sqref="B30:B34">
    <cfRule type="expression" dxfId="392" priority="2">
      <formula>$B$32="-"</formula>
    </cfRule>
  </conditionalFormatting>
  <conditionalFormatting sqref="C10:D11">
    <cfRule type="containsBlanks" dxfId="391" priority="1">
      <formula>LEN(TRIM(C10))=0</formula>
    </cfRule>
  </conditionalFormatting>
  <printOptions horizontalCentered="1"/>
  <pageMargins left="0.51181102362204722" right="0.51181102362204722" top="0.55118110236220474" bottom="0.55118110236220474" header="0.31496062992125984" footer="0.31496062992125984"/>
  <pageSetup paperSize="9" scale="9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  <pageSetUpPr fitToPage="1"/>
  </sheetPr>
  <dimension ref="A1:Z35"/>
  <sheetViews>
    <sheetView topLeftCell="A13" zoomScaleNormal="100" zoomScaleSheetLayoutView="100" workbookViewId="0">
      <selection activeCell="F21" sqref="F21"/>
    </sheetView>
  </sheetViews>
  <sheetFormatPr defaultColWidth="0" defaultRowHeight="0" customHeight="1" zeroHeight="1" x14ac:dyDescent="0.25"/>
  <cols>
    <col min="1" max="1" width="3.5703125" style="24" customWidth="1"/>
    <col min="2" max="2" width="48.140625" style="24" customWidth="1"/>
    <col min="3" max="3" width="14.140625" style="24" customWidth="1"/>
    <col min="4" max="4" width="12.28515625" style="24" customWidth="1"/>
    <col min="5" max="5" width="13.85546875" style="116" customWidth="1"/>
    <col min="6" max="6" width="12.7109375" style="24" customWidth="1"/>
    <col min="7" max="7" width="3.7109375" style="24" customWidth="1"/>
    <col min="8" max="20" width="9.140625" style="24" hidden="1" customWidth="1"/>
    <col min="21" max="26" width="5.7109375" style="24" hidden="1" customWidth="1"/>
    <col min="27" max="16384" width="9.140625" style="24" hidden="1"/>
  </cols>
  <sheetData>
    <row r="1" spans="1:7" ht="15.75" x14ac:dyDescent="0.25">
      <c r="A1" s="21"/>
      <c r="B1" s="22"/>
      <c r="C1" s="23"/>
      <c r="D1" s="23"/>
      <c r="E1" s="23"/>
      <c r="F1" s="23"/>
      <c r="G1" s="23"/>
    </row>
    <row r="2" spans="1:7" ht="113.25" customHeight="1" x14ac:dyDescent="0.25">
      <c r="A2" s="23"/>
      <c r="B2" s="333" t="s">
        <v>2810</v>
      </c>
      <c r="C2" s="333"/>
      <c r="D2" s="333"/>
      <c r="E2" s="333"/>
      <c r="F2" s="333"/>
      <c r="G2" s="23"/>
    </row>
    <row r="3" spans="1:7" ht="15.75" customHeight="1" x14ac:dyDescent="0.25">
      <c r="A3" s="336" t="s">
        <v>2808</v>
      </c>
      <c r="B3" s="336"/>
      <c r="C3" s="336"/>
      <c r="D3" s="336"/>
      <c r="E3" s="336"/>
      <c r="F3" s="336"/>
      <c r="G3" s="336"/>
    </row>
    <row r="4" spans="1:7" ht="15.75" x14ac:dyDescent="0.25">
      <c r="A4" s="23"/>
      <c r="B4" s="22"/>
      <c r="C4" s="23"/>
      <c r="D4" s="23"/>
      <c r="E4" s="23"/>
      <c r="F4" s="23"/>
      <c r="G4" s="23"/>
    </row>
    <row r="5" spans="1:7" ht="15.75" x14ac:dyDescent="0.25">
      <c r="A5" s="23"/>
      <c r="B5" s="25" t="s">
        <v>1893</v>
      </c>
      <c r="C5" s="23"/>
      <c r="D5" s="23"/>
      <c r="E5" s="23"/>
      <c r="F5" s="23"/>
      <c r="G5" s="23"/>
    </row>
    <row r="6" spans="1:7" ht="15.75" x14ac:dyDescent="0.25">
      <c r="A6" s="23"/>
      <c r="B6" s="26" t="s">
        <v>384</v>
      </c>
      <c r="C6" s="345" t="str">
        <f ca="1">IFERROR(VLOOKUP(INDIRECT("Szakmai_oktatás_1!B4"),'Kedvezményezettek adatai'!$C$2:$D$51,2,0),"")</f>
        <v/>
      </c>
      <c r="D6" s="346"/>
      <c r="E6" s="346"/>
      <c r="F6" s="347"/>
      <c r="G6" s="23"/>
    </row>
    <row r="7" spans="1:7" ht="15.75" x14ac:dyDescent="0.25">
      <c r="A7" s="23"/>
      <c r="B7" s="26" t="s">
        <v>385</v>
      </c>
      <c r="C7" s="328" t="str">
        <f ca="1">IFERROR(VLOOKUP(C6,'Kedvezményezettek adatai'!D2:G51,4,0),"")</f>
        <v/>
      </c>
      <c r="D7" s="337"/>
      <c r="E7" s="337"/>
      <c r="F7" s="329"/>
      <c r="G7" s="23"/>
    </row>
    <row r="8" spans="1:7" ht="15.75" x14ac:dyDescent="0.25">
      <c r="A8" s="23"/>
      <c r="B8" s="26" t="s">
        <v>386</v>
      </c>
      <c r="C8" s="328" t="str">
        <f ca="1">IFERROR(VLOOKUP(C6,'Kedvezményezettek adatai'!$D$2:$E$51,2,0),"")</f>
        <v/>
      </c>
      <c r="D8" s="337"/>
      <c r="E8" s="337"/>
      <c r="F8" s="329"/>
      <c r="G8" s="23"/>
    </row>
    <row r="9" spans="1:7" ht="15.75" customHeight="1" x14ac:dyDescent="0.25">
      <c r="A9" s="23"/>
      <c r="B9" s="26" t="s">
        <v>1879</v>
      </c>
      <c r="C9" s="334" t="str">
        <f ca="1">E33&amp;" "&amp;E34</f>
        <v xml:space="preserve"> </v>
      </c>
      <c r="D9" s="338"/>
      <c r="E9" s="338"/>
      <c r="F9" s="335"/>
      <c r="G9" s="23"/>
    </row>
    <row r="10" spans="1:7" ht="15.75" x14ac:dyDescent="0.25">
      <c r="A10" s="23"/>
      <c r="B10" s="26" t="s">
        <v>1866</v>
      </c>
      <c r="C10" s="339" t="str">
        <f ca="1">IFERROR(VLOOKUP(C6,'Kedvezményezettek adatai'!D2:AN51,37,0),"")</f>
        <v/>
      </c>
      <c r="D10" s="340"/>
      <c r="E10" s="340"/>
      <c r="F10" s="341"/>
      <c r="G10" s="23"/>
    </row>
    <row r="11" spans="1:7" ht="15.75" x14ac:dyDescent="0.25">
      <c r="A11" s="23"/>
      <c r="B11" s="26" t="s">
        <v>1867</v>
      </c>
      <c r="C11" s="339" t="str">
        <f ca="1">IFERROR(VLOOKUP(C6,'Kedvezményezettek adatai'!D2:AM51,36,0),"")</f>
        <v/>
      </c>
      <c r="D11" s="340"/>
      <c r="E11" s="340"/>
      <c r="F11" s="341"/>
      <c r="G11" s="23"/>
    </row>
    <row r="12" spans="1:7" ht="15.75" x14ac:dyDescent="0.25">
      <c r="A12" s="23"/>
      <c r="B12" s="26" t="s">
        <v>1880</v>
      </c>
      <c r="C12" s="339" t="str">
        <f ca="1">IFERROR(VLOOKUP(C6,'Kedvezményezettek adatai'!D2:M51,10,0),"")</f>
        <v/>
      </c>
      <c r="D12" s="340"/>
      <c r="E12" s="340"/>
      <c r="F12" s="341"/>
      <c r="G12" s="23"/>
    </row>
    <row r="13" spans="1:7" ht="15.75" x14ac:dyDescent="0.25">
      <c r="A13" s="23"/>
      <c r="B13" s="26" t="s">
        <v>1265</v>
      </c>
      <c r="C13" s="342" t="str">
        <f ca="1">IFERROR(VLOOKUP(C6,'Kedvezményezettek adatai'!D2:N51,11,0),"")</f>
        <v/>
      </c>
      <c r="D13" s="343"/>
      <c r="E13" s="343"/>
      <c r="F13" s="344"/>
      <c r="G13" s="23"/>
    </row>
    <row r="14" spans="1:7" ht="37.5" customHeight="1" x14ac:dyDescent="0.25">
      <c r="A14" s="23"/>
      <c r="B14" s="22"/>
      <c r="C14" s="23"/>
      <c r="D14" s="23"/>
      <c r="E14" s="23"/>
      <c r="F14" s="23"/>
      <c r="G14" s="23"/>
    </row>
    <row r="15" spans="1:7" ht="141.75" x14ac:dyDescent="0.25">
      <c r="A15" s="23"/>
      <c r="B15" s="27" t="s">
        <v>1266</v>
      </c>
      <c r="C15" s="28" t="s">
        <v>1904</v>
      </c>
      <c r="D15" s="28" t="s">
        <v>2812</v>
      </c>
      <c r="E15" s="28" t="s">
        <v>1905</v>
      </c>
      <c r="F15" s="28" t="s">
        <v>2809</v>
      </c>
      <c r="G15" s="23"/>
    </row>
    <row r="16" spans="1:7" ht="15.75" x14ac:dyDescent="0.25">
      <c r="A16" s="23"/>
      <c r="B16" s="53" t="s">
        <v>1804</v>
      </c>
      <c r="C16" s="223">
        <f>Szakmai_oktatás_1!F2+Szakmai_oktatás_1!G2</f>
        <v>0</v>
      </c>
      <c r="D16" s="223">
        <f>ROUND(Szakmai_oktatás_1!M2,-3)</f>
        <v>0</v>
      </c>
      <c r="E16" s="30">
        <f>Szakmai_oktatás_1!N2</f>
        <v>0</v>
      </c>
      <c r="F16" s="30">
        <f>Szakmai_oktatás_1!S2</f>
        <v>0</v>
      </c>
      <c r="G16" s="23"/>
    </row>
    <row r="17" spans="1:7" ht="15.75" x14ac:dyDescent="0.25">
      <c r="A17" s="23"/>
      <c r="B17" s="53" t="s">
        <v>1805</v>
      </c>
      <c r="C17" s="223">
        <f>Szakmai_képzés_1!J2+Szakmai_képzés_1!K2</f>
        <v>0</v>
      </c>
      <c r="D17" s="223">
        <f>ROUND(Szakmai_képzés_1!Q2,-3)</f>
        <v>0</v>
      </c>
      <c r="E17" s="30">
        <f>Szakmai_képzés_1!R2</f>
        <v>0</v>
      </c>
      <c r="F17" s="30">
        <f>Szakmai_képzés_1!Y2</f>
        <v>0</v>
      </c>
      <c r="G17" s="23"/>
    </row>
    <row r="18" spans="1:7" ht="15.75" x14ac:dyDescent="0.25">
      <c r="A18" s="23"/>
      <c r="B18" s="29" t="s">
        <v>1806</v>
      </c>
      <c r="C18" s="223">
        <f>Egyéb_képzés_1!F2</f>
        <v>0</v>
      </c>
      <c r="D18" s="223">
        <f>Egyéb_képzés_1!I2</f>
        <v>0</v>
      </c>
      <c r="E18" s="30">
        <f>Egyéb_képzés_1!J2</f>
        <v>0</v>
      </c>
      <c r="F18" s="30">
        <f>Egyéb_képzés_1!K2</f>
        <v>0</v>
      </c>
      <c r="G18" s="23"/>
    </row>
    <row r="19" spans="1:7" ht="15.75" customHeight="1" x14ac:dyDescent="0.25">
      <c r="A19" s="23"/>
      <c r="B19" s="29" t="s">
        <v>1870</v>
      </c>
      <c r="C19" s="223">
        <f>'Felnőttokt._Szakk.+Egyéb_képz_1'!G2</f>
        <v>0</v>
      </c>
      <c r="D19" s="223">
        <f>ROUND('Felnőttokt._Szakk.+Egyéb_képz_1'!O2,-3)</f>
        <v>0</v>
      </c>
      <c r="E19" s="30">
        <f>'Felnőttokt._Szakk.+Egyéb_képz_1'!P2</f>
        <v>0</v>
      </c>
      <c r="F19" s="30">
        <f>'Felnőttokt._Szakk.+Egyéb_képz_1'!Q2</f>
        <v>0</v>
      </c>
      <c r="G19" s="23"/>
    </row>
    <row r="20" spans="1:7" ht="15.75" x14ac:dyDescent="0.25">
      <c r="A20" s="23"/>
      <c r="B20" s="91" t="s">
        <v>1903</v>
      </c>
      <c r="C20" s="224">
        <f>SUM(C16:C19)</f>
        <v>0</v>
      </c>
      <c r="D20" s="224">
        <f>SUM(D16:D19)</f>
        <v>0</v>
      </c>
      <c r="E20" s="92">
        <f>SUM(E16:E19)</f>
        <v>0</v>
      </c>
      <c r="F20" s="92">
        <f>SUM(F16:F19)</f>
        <v>0</v>
      </c>
      <c r="G20" s="23"/>
    </row>
    <row r="21" spans="1:7" ht="126" x14ac:dyDescent="0.25">
      <c r="A21" s="23"/>
      <c r="B21" s="220" t="s">
        <v>2811</v>
      </c>
      <c r="C21" s="221"/>
      <c r="D21" s="222"/>
      <c r="E21" s="222"/>
      <c r="F21" s="92">
        <f>ROUND(D20-F20,-3)</f>
        <v>0</v>
      </c>
      <c r="G21" s="23"/>
    </row>
    <row r="22" spans="1:7" ht="15.75" x14ac:dyDescent="0.25">
      <c r="A22" s="23"/>
      <c r="B22" s="104"/>
      <c r="C22" s="105"/>
      <c r="D22" s="105"/>
      <c r="E22" s="105"/>
      <c r="F22" s="105"/>
      <c r="G22" s="23"/>
    </row>
    <row r="23" spans="1:7" ht="15.75" x14ac:dyDescent="0.25">
      <c r="A23" s="23"/>
      <c r="B23" s="199" t="e">
        <f ca="1">VLOOKUP(C6,'Kedvezményezettek adatai'!$D$2:$T$51,17,0)&amp;", 2021. szeptember"</f>
        <v>#N/A</v>
      </c>
      <c r="C23" s="107"/>
      <c r="D23" s="107"/>
      <c r="E23" s="107"/>
      <c r="F23" s="107"/>
      <c r="G23" s="23"/>
    </row>
    <row r="24" spans="1:7" ht="15.75" x14ac:dyDescent="0.25">
      <c r="A24" s="23"/>
      <c r="B24" s="108"/>
      <c r="C24" s="109"/>
      <c r="D24" s="109"/>
      <c r="E24" s="109"/>
      <c r="F24" s="109"/>
      <c r="G24" s="23"/>
    </row>
    <row r="25" spans="1:7" ht="15.75" x14ac:dyDescent="0.25">
      <c r="A25" s="23"/>
      <c r="B25" s="54" t="s">
        <v>1881</v>
      </c>
      <c r="C25" s="54"/>
      <c r="D25" s="54"/>
      <c r="E25" s="54"/>
      <c r="F25" s="54"/>
      <c r="G25" s="23"/>
    </row>
    <row r="26" spans="1:7" ht="15.75" x14ac:dyDescent="0.25">
      <c r="A26" s="23"/>
      <c r="B26" s="54" t="s">
        <v>1877</v>
      </c>
      <c r="C26" s="54"/>
      <c r="D26" s="54"/>
      <c r="E26" s="54"/>
      <c r="F26" s="54"/>
      <c r="G26" s="23"/>
    </row>
    <row r="27" spans="1:7" ht="15.75" x14ac:dyDescent="0.25">
      <c r="A27" s="23"/>
      <c r="B27" s="54" t="s">
        <v>1878</v>
      </c>
      <c r="C27" s="54"/>
      <c r="D27" s="54"/>
      <c r="E27" s="54"/>
      <c r="F27" s="54"/>
      <c r="G27" s="23"/>
    </row>
    <row r="28" spans="1:7" ht="15.75" x14ac:dyDescent="0.25">
      <c r="A28" s="23"/>
      <c r="B28" s="54" t="s">
        <v>1897</v>
      </c>
      <c r="C28" s="54"/>
      <c r="D28" s="54"/>
      <c r="E28" s="54"/>
      <c r="F28" s="54"/>
      <c r="G28" s="23"/>
    </row>
    <row r="29" spans="1:7" ht="15.75" x14ac:dyDescent="0.25">
      <c r="A29" s="23"/>
      <c r="B29" s="54" t="s">
        <v>2411</v>
      </c>
      <c r="C29" s="54"/>
      <c r="D29" s="54"/>
      <c r="E29" s="54"/>
      <c r="F29" s="54"/>
      <c r="G29" s="23"/>
    </row>
    <row r="30" spans="1:7" ht="33" customHeight="1" x14ac:dyDescent="0.25">
      <c r="A30" s="23"/>
      <c r="B30" s="110"/>
      <c r="C30" s="109"/>
      <c r="D30" s="109"/>
      <c r="E30" s="109"/>
      <c r="F30" s="109"/>
      <c r="G30" s="23"/>
    </row>
    <row r="31" spans="1:7" ht="15.75" x14ac:dyDescent="0.25">
      <c r="A31" s="23"/>
      <c r="C31" s="111"/>
      <c r="D31" s="111" t="s">
        <v>864</v>
      </c>
      <c r="E31" s="24"/>
      <c r="F31" s="111"/>
      <c r="G31" s="23"/>
    </row>
    <row r="32" spans="1:7" ht="15.75" x14ac:dyDescent="0.25">
      <c r="A32" s="23"/>
      <c r="C32" s="54"/>
      <c r="D32" s="54"/>
      <c r="E32" s="112" t="s">
        <v>1267</v>
      </c>
      <c r="F32" s="112"/>
      <c r="G32" s="23"/>
    </row>
    <row r="33" spans="1:7" ht="15.75" x14ac:dyDescent="0.25">
      <c r="A33" s="23"/>
      <c r="C33" s="54"/>
      <c r="D33" s="54"/>
      <c r="E33" s="112" t="str">
        <f ca="1">IFERROR(VLOOKUP(E35,'Kedvezményezettek adatai'!$D$2:$H$51,5,0),"")</f>
        <v/>
      </c>
      <c r="F33" s="112"/>
      <c r="G33" s="23"/>
    </row>
    <row r="34" spans="1:7" ht="15.75" x14ac:dyDescent="0.25">
      <c r="A34" s="23"/>
      <c r="C34" s="114"/>
      <c r="D34" s="54"/>
      <c r="E34" s="112" t="str">
        <f ca="1">IFERROR(VLOOKUP(E35,'Kedvezményezettek adatai'!$D$2:$I$51,6,0),"")</f>
        <v/>
      </c>
      <c r="F34" s="112"/>
      <c r="G34" s="23"/>
    </row>
    <row r="35" spans="1:7" ht="33.75" customHeight="1" x14ac:dyDescent="0.25">
      <c r="A35" s="23"/>
      <c r="C35" s="115"/>
      <c r="D35" s="115"/>
      <c r="E35" s="117" t="str">
        <f ca="1">IFERROR(IF(C6="","",C6),"")</f>
        <v/>
      </c>
      <c r="F35" s="113"/>
      <c r="G35" s="23"/>
    </row>
  </sheetData>
  <mergeCells count="10">
    <mergeCell ref="C12:F12"/>
    <mergeCell ref="C13:F13"/>
    <mergeCell ref="C10:F10"/>
    <mergeCell ref="C11:F11"/>
    <mergeCell ref="C6:F6"/>
    <mergeCell ref="B2:F2"/>
    <mergeCell ref="C7:F7"/>
    <mergeCell ref="C8:F8"/>
    <mergeCell ref="C9:F9"/>
    <mergeCell ref="A3:G3"/>
  </mergeCells>
  <conditionalFormatting sqref="E32:E35 D31">
    <cfRule type="expression" dxfId="390" priority="3">
      <formula>$E$33="-"</formula>
    </cfRule>
  </conditionalFormatting>
  <conditionalFormatting sqref="C6:F13">
    <cfRule type="containsBlanks" dxfId="389" priority="1">
      <formula>LEN(TRIM(C6))=0</formula>
    </cfRule>
  </conditionalFormatting>
  <printOptions horizontalCentered="1"/>
  <pageMargins left="0.51181102362204722" right="0.51181102362204722" top="0.55118110236220474" bottom="0.55118110236220474" header="0.31496062992125984" footer="0.31496062992125984"/>
  <pageSetup paperSize="9" scale="75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V1119"/>
  <sheetViews>
    <sheetView zoomScale="80" zoomScaleNormal="80" workbookViewId="0">
      <pane ySplit="3" topLeftCell="A39" activePane="bottomLeft" state="frozen"/>
      <selection pane="bottomLeft" activeCell="E39" sqref="E39"/>
    </sheetView>
  </sheetViews>
  <sheetFormatPr defaultColWidth="9.140625" defaultRowHeight="15" zeroHeight="1" x14ac:dyDescent="0.25"/>
  <cols>
    <col min="1" max="1" width="21.7109375" style="3" customWidth="1"/>
    <col min="2" max="2" width="20.85546875" style="3" customWidth="1"/>
    <col min="3" max="3" width="38" style="3" customWidth="1"/>
    <col min="4" max="4" width="19" style="3" customWidth="1"/>
    <col min="5" max="5" width="43.5703125" style="3" customWidth="1"/>
    <col min="6" max="7" width="14.28515625" style="3" customWidth="1"/>
    <col min="8" max="8" width="24.140625" style="3" customWidth="1"/>
    <col min="9" max="9" width="16.28515625" style="3" bestFit="1" customWidth="1"/>
    <col min="10" max="10" width="14.28515625" style="3" customWidth="1"/>
    <col min="11" max="11" width="14.28515625" style="106" customWidth="1"/>
    <col min="12" max="13" width="14.28515625" style="3" customWidth="1"/>
    <col min="14" max="14" width="19.5703125" style="3" customWidth="1"/>
    <col min="15" max="18" width="19.5703125" style="106" customWidth="1"/>
    <col min="19" max="19" width="17.7109375" style="3" customWidth="1"/>
    <col min="20" max="20" width="52.28515625" style="3" customWidth="1"/>
    <col min="21" max="21" width="52.42578125" style="3" customWidth="1"/>
    <col min="22" max="22" width="52.42578125" style="3" bestFit="1" customWidth="1"/>
    <col min="23" max="16384" width="9.140625" style="3"/>
  </cols>
  <sheetData>
    <row r="1" spans="1:22" ht="30" customHeight="1" x14ac:dyDescent="0.25">
      <c r="A1" s="228" t="s">
        <v>2813</v>
      </c>
      <c r="B1" s="18"/>
      <c r="C1" s="18"/>
      <c r="D1" s="18"/>
      <c r="E1" s="147" t="s">
        <v>381</v>
      </c>
      <c r="F1" s="18"/>
      <c r="G1" s="18"/>
      <c r="H1" s="18"/>
      <c r="I1" s="18"/>
      <c r="J1" s="17"/>
      <c r="K1" s="18"/>
      <c r="L1" s="128" t="s">
        <v>2035</v>
      </c>
      <c r="M1" s="196"/>
      <c r="N1" s="197"/>
      <c r="O1" s="137"/>
      <c r="P1" s="128" t="s">
        <v>2031</v>
      </c>
      <c r="Q1" s="137"/>
      <c r="R1" s="137"/>
      <c r="S1" s="121"/>
      <c r="T1" s="245"/>
      <c r="U1" s="128" t="s">
        <v>2817</v>
      </c>
      <c r="V1" s="246"/>
    </row>
    <row r="2" spans="1:22" ht="30" customHeight="1" x14ac:dyDescent="0.25">
      <c r="A2" s="230" t="s">
        <v>366</v>
      </c>
      <c r="B2" s="237"/>
      <c r="C2" s="259" t="s">
        <v>2826</v>
      </c>
      <c r="D2" s="265">
        <f>COUNTBLANK(A4:G53)</f>
        <v>350</v>
      </c>
      <c r="E2" s="31"/>
      <c r="F2" s="132">
        <f>SUM(F4:F53)</f>
        <v>0</v>
      </c>
      <c r="G2" s="132">
        <f>SUM(G4:G53)</f>
        <v>0</v>
      </c>
      <c r="H2" s="31"/>
      <c r="I2" s="31"/>
      <c r="J2" s="131"/>
      <c r="K2" s="193"/>
      <c r="L2" s="132">
        <f t="shared" ref="L2:S2" si="0">SUM(L4:L53)</f>
        <v>0</v>
      </c>
      <c r="M2" s="125">
        <f t="shared" si="0"/>
        <v>0</v>
      </c>
      <c r="N2" s="138">
        <f t="shared" si="0"/>
        <v>0</v>
      </c>
      <c r="O2" s="132">
        <f t="shared" si="0"/>
        <v>0</v>
      </c>
      <c r="P2" s="132">
        <f t="shared" si="0"/>
        <v>0</v>
      </c>
      <c r="Q2" s="132">
        <f t="shared" si="0"/>
        <v>0</v>
      </c>
      <c r="R2" s="132">
        <f t="shared" si="0"/>
        <v>0</v>
      </c>
      <c r="S2" s="125">
        <f t="shared" si="0"/>
        <v>0</v>
      </c>
      <c r="T2" s="17"/>
      <c r="U2" s="247" t="str">
        <f>"LOGIKAI HIBÁK SZÁMA: "&amp;V2</f>
        <v>LOGIKAI HIBÁK SZÁMA: 0</v>
      </c>
      <c r="V2" s="257">
        <f>COUNTIF(T4:T53,"Az ''F'' és/vagy az ''N'' oszlop értéke hibás! Kérjük balról jobbra haladva adja meg a helyes értékeket.")+COUNTIF(U4:U53,"Az ''N'' és/vagy az ''O'' oszlop értéke hibás! Kérjük balról jobbra haladva adja meg a helyes értékeket.")+COUNTIF(V4:V53,"Az ''O'' és/vagy a ''P'' oszlop értéke hibás! Kérjük balról jobbra haladva adja meg a helyes értékeket.")</f>
        <v>0</v>
      </c>
    </row>
    <row r="3" spans="1:22" ht="171" customHeight="1" x14ac:dyDescent="0.25">
      <c r="A3" s="118" t="s">
        <v>1791</v>
      </c>
      <c r="B3" s="42" t="s">
        <v>1792</v>
      </c>
      <c r="C3" s="42" t="s">
        <v>1793</v>
      </c>
      <c r="D3" s="42" t="s">
        <v>2022</v>
      </c>
      <c r="E3" s="42" t="s">
        <v>873</v>
      </c>
      <c r="F3" s="42" t="s">
        <v>1794</v>
      </c>
      <c r="G3" s="42" t="s">
        <v>2023</v>
      </c>
      <c r="H3" s="43" t="s">
        <v>1616</v>
      </c>
      <c r="I3" s="129" t="s">
        <v>1617</v>
      </c>
      <c r="J3" s="133" t="s">
        <v>2029</v>
      </c>
      <c r="K3" s="134" t="s">
        <v>2024</v>
      </c>
      <c r="L3" s="134" t="s">
        <v>2025</v>
      </c>
      <c r="M3" s="135" t="s">
        <v>1612</v>
      </c>
      <c r="N3" s="139" t="s">
        <v>2028</v>
      </c>
      <c r="O3" s="139" t="s">
        <v>2026</v>
      </c>
      <c r="P3" s="139" t="s">
        <v>2027</v>
      </c>
      <c r="Q3" s="194" t="s">
        <v>2818</v>
      </c>
      <c r="R3" s="194" t="s">
        <v>2819</v>
      </c>
      <c r="S3" s="135" t="s">
        <v>2030</v>
      </c>
      <c r="T3" s="239" t="s">
        <v>2814</v>
      </c>
      <c r="U3" s="44" t="s">
        <v>2815</v>
      </c>
      <c r="V3" s="240" t="s">
        <v>2816</v>
      </c>
    </row>
    <row r="4" spans="1:22" ht="30" customHeight="1" x14ac:dyDescent="0.25">
      <c r="A4" s="235"/>
      <c r="B4" s="100"/>
      <c r="C4" s="100"/>
      <c r="D4" s="102"/>
      <c r="E4" s="100"/>
      <c r="F4" s="102"/>
      <c r="G4" s="102"/>
      <c r="H4" s="96" t="str">
        <f>IFERROR(VLOOKUP(E4,'Szakmajegyzék 2021.I.1-'!$B$7:$C$181,2,0),"")</f>
        <v/>
      </c>
      <c r="I4" s="130" t="str">
        <f>IFERROR(VLOOKUP(E4,'Szakmajegyzék 2021.I.1-'!$B$7:$K$181,10,0),"")</f>
        <v/>
      </c>
      <c r="J4" s="136" t="str">
        <f>IFERROR(VLOOKUP(E4,'Szakmajegyzék 2021.I.1-'!$L$7:$R$181,6,0),"")</f>
        <v/>
      </c>
      <c r="K4" s="195" t="str">
        <f>IFERROR(VLOOKUP(E4,'Szakmajegyzék 2021.I.1-'!$L$7:$R$181,7,0)*('Támogatás szorzat tényezői'!$C$15/'Támogatás szorzat tényezői'!$C$14),"")</f>
        <v/>
      </c>
      <c r="L4" s="98" t="str">
        <f>IFERROR((F4+G4)*K4,"")</f>
        <v/>
      </c>
      <c r="M4" s="120" t="str">
        <f>IFERROR((F4*K4*'Támogatás szorzat tényezői'!$C$7)+(G4*K4*'Támogatás szorzat tényezői'!$C$7*'Támogatás szorzat tényezői'!$C$8),"")</f>
        <v/>
      </c>
      <c r="N4" s="253"/>
      <c r="O4" s="254"/>
      <c r="P4" s="254"/>
      <c r="Q4" s="248" t="str">
        <f>IF(N4="","",K4*'Támogatás szorzat tényezői'!$C$7*N4)</f>
        <v/>
      </c>
      <c r="R4" s="248" t="str">
        <f>IF(P4="","",J4*(1-'Támogatás szorzat tényezői'!$C$7)*P4)</f>
        <v/>
      </c>
      <c r="S4" s="249" t="str">
        <f>IFERROR(Q4+R4,"")</f>
        <v/>
      </c>
      <c r="T4" s="250" t="str">
        <f>IF(OR(F4="",N4=""),"",IF(N4&lt;F4,"Az ''F'' és/vagy az ''N'' oszlop értéke hibás! Kérjük balról jobbra haladva adja meg a helyes értékeket.",""))</f>
        <v/>
      </c>
      <c r="U4" s="251" t="str">
        <f>IF(OR(N4="",O4=""),"",IF(O4&gt;N4,"Az ''N'' és/vagy az ''O'' oszlop értéke hibás! Kérjük balról jobbra haladva adja meg a helyes értékeket.",""))</f>
        <v/>
      </c>
      <c r="V4" s="252" t="str">
        <f>IF(OR(O4="",P4=""),"",IF(P4&gt;O4,"Az ''O'' és/vagy a ''P'' oszlop értéke hibás! Kérjük balról jobbra haladva adja meg a helyes értékeket.",""))</f>
        <v/>
      </c>
    </row>
    <row r="5" spans="1:22" ht="30" customHeight="1" x14ac:dyDescent="0.25">
      <c r="A5" s="235"/>
      <c r="B5" s="100"/>
      <c r="C5" s="100"/>
      <c r="D5" s="102"/>
      <c r="E5" s="100"/>
      <c r="F5" s="102"/>
      <c r="G5" s="102"/>
      <c r="H5" s="96" t="str">
        <f>IFERROR(VLOOKUP(E5,'Szakmajegyzék 2021.I.1-'!$B$7:$C$181,2,0),"")</f>
        <v/>
      </c>
      <c r="I5" s="130" t="str">
        <f>IFERROR(VLOOKUP(E5,'Szakmajegyzék 2021.I.1-'!$B$7:$K$181,10,0),"")</f>
        <v/>
      </c>
      <c r="J5" s="136" t="str">
        <f>IFERROR(VLOOKUP(E5,'Szakmajegyzék 2021.I.1-'!$L$7:$R$181,6,0),"")</f>
        <v/>
      </c>
      <c r="K5" s="195" t="str">
        <f>IFERROR(VLOOKUP(E5,'Szakmajegyzék 2021.I.1-'!$L$7:$R$181,7,0)*('Támogatás szorzat tényezői'!$C$15/'Támogatás szorzat tényezői'!$C$14),"")</f>
        <v/>
      </c>
      <c r="L5" s="98" t="str">
        <f t="shared" ref="L5:L53" si="1">IFERROR((F5+G5)*K5,"")</f>
        <v/>
      </c>
      <c r="M5" s="120" t="str">
        <f>IFERROR((F5*K5*'Támogatás szorzat tényezői'!$C$7)+(G5*K5*'Támogatás szorzat tényezői'!$C$7*'Támogatás szorzat tényezői'!$C$8),"")</f>
        <v/>
      </c>
      <c r="N5" s="253"/>
      <c r="O5" s="254"/>
      <c r="P5" s="254"/>
      <c r="Q5" s="248" t="str">
        <f>IF(N5="","",K5*'Támogatás szorzat tényezői'!$C$7*N5)</f>
        <v/>
      </c>
      <c r="R5" s="248" t="str">
        <f>IF(P5="","",J5*(1-'Támogatás szorzat tényezői'!$C$7)*P5)</f>
        <v/>
      </c>
      <c r="S5" s="249" t="str">
        <f t="shared" ref="S5:S53" si="2">IFERROR(Q5+R5,"")</f>
        <v/>
      </c>
      <c r="T5" s="250" t="str">
        <f t="shared" ref="T5:T53" si="3">IF(OR(F5="",N5=""),"",IF(N5&lt;F5,"Az ''F'' és/vagy az ''N'' oszlop értéke hibás! Kérjük balról jobbra haladva adja meg a helyes értékeket.",""))</f>
        <v/>
      </c>
      <c r="U5" s="251" t="str">
        <f t="shared" ref="U5:U53" si="4">IF(OR(N5="",O5=""),"",IF(O5&gt;N5,"Az ''N'' és/vagy az ''O'' oszlop értéke hibás! Kérjük balról jobbra haladva adja meg a helyes értékeket.",""))</f>
        <v/>
      </c>
      <c r="V5" s="252" t="str">
        <f t="shared" ref="V5:V53" si="5">IF(OR(O5="",P5=""),"",IF(P5&gt;O5,"Az ''O'' és/vagy a ''P'' oszlop értéke hibás! Kérjük balról jobbra haladva adja meg a helyes értékeket.",""))</f>
        <v/>
      </c>
    </row>
    <row r="6" spans="1:22" ht="30" customHeight="1" x14ac:dyDescent="0.25">
      <c r="A6" s="235"/>
      <c r="B6" s="100"/>
      <c r="C6" s="100"/>
      <c r="D6" s="102"/>
      <c r="E6" s="100"/>
      <c r="F6" s="102"/>
      <c r="G6" s="102"/>
      <c r="H6" s="96" t="str">
        <f>IFERROR(VLOOKUP(E6,'Szakmajegyzék 2021.I.1-'!$B$7:$C$181,2,0),"")</f>
        <v/>
      </c>
      <c r="I6" s="130" t="str">
        <f>IFERROR(VLOOKUP(E6,'Szakmajegyzék 2021.I.1-'!$B$7:$K$181,10,0),"")</f>
        <v/>
      </c>
      <c r="J6" s="136" t="str">
        <f>IFERROR(VLOOKUP(E6,'Szakmajegyzék 2021.I.1-'!$L$7:$R$181,6,0),"")</f>
        <v/>
      </c>
      <c r="K6" s="195" t="str">
        <f>IFERROR(VLOOKUP(E6,'Szakmajegyzék 2021.I.1-'!$L$7:$R$181,7,0)*('Támogatás szorzat tényezői'!$C$15/'Támogatás szorzat tényezői'!$C$14),"")</f>
        <v/>
      </c>
      <c r="L6" s="98" t="str">
        <f t="shared" si="1"/>
        <v/>
      </c>
      <c r="M6" s="120" t="str">
        <f>IFERROR((F6*K6*'Támogatás szorzat tényezői'!$C$7)+(G6*K6*'Támogatás szorzat tényezői'!$C$7*'Támogatás szorzat tényezői'!$C$8),"")</f>
        <v/>
      </c>
      <c r="N6" s="253"/>
      <c r="O6" s="254"/>
      <c r="P6" s="254"/>
      <c r="Q6" s="248" t="str">
        <f>IF(N6="","",K6*'Támogatás szorzat tényezői'!$C$7*N6)</f>
        <v/>
      </c>
      <c r="R6" s="248" t="str">
        <f>IF(P6="","",J6*(1-'Támogatás szorzat tényezői'!$C$7)*P6)</f>
        <v/>
      </c>
      <c r="S6" s="249" t="str">
        <f t="shared" si="2"/>
        <v/>
      </c>
      <c r="T6" s="250" t="str">
        <f t="shared" si="3"/>
        <v/>
      </c>
      <c r="U6" s="251" t="str">
        <f t="shared" si="4"/>
        <v/>
      </c>
      <c r="V6" s="252" t="str">
        <f t="shared" si="5"/>
        <v/>
      </c>
    </row>
    <row r="7" spans="1:22" ht="30" customHeight="1" x14ac:dyDescent="0.25">
      <c r="A7" s="235"/>
      <c r="B7" s="100"/>
      <c r="C7" s="100"/>
      <c r="D7" s="102"/>
      <c r="E7" s="100"/>
      <c r="F7" s="102"/>
      <c r="G7" s="102"/>
      <c r="H7" s="96" t="str">
        <f>IFERROR(VLOOKUP(E7,'Szakmajegyzék 2021.I.1-'!$B$7:$C$181,2,0),"")</f>
        <v/>
      </c>
      <c r="I7" s="130" t="str">
        <f>IFERROR(VLOOKUP(E7,'Szakmajegyzék 2021.I.1-'!$B$7:$K$181,10,0),"")</f>
        <v/>
      </c>
      <c r="J7" s="136" t="str">
        <f>IFERROR(VLOOKUP(E7,'Szakmajegyzék 2021.I.1-'!$L$7:$R$181,6,0),"")</f>
        <v/>
      </c>
      <c r="K7" s="195" t="str">
        <f>IFERROR(VLOOKUP(E7,'Szakmajegyzék 2021.I.1-'!$L$7:$R$181,7,0)*('Támogatás szorzat tényezői'!$C$15/'Támogatás szorzat tényezői'!$C$14),"")</f>
        <v/>
      </c>
      <c r="L7" s="98" t="str">
        <f t="shared" si="1"/>
        <v/>
      </c>
      <c r="M7" s="120" t="str">
        <f>IFERROR((F7*K7*'Támogatás szorzat tényezői'!$C$7)+(G7*K7*'Támogatás szorzat tényezői'!$C$7*'Támogatás szorzat tényezői'!$C$8),"")</f>
        <v/>
      </c>
      <c r="N7" s="253"/>
      <c r="O7" s="254"/>
      <c r="P7" s="254"/>
      <c r="Q7" s="248" t="str">
        <f>IF(N7="","",K7*'Támogatás szorzat tényezői'!$C$7*N7)</f>
        <v/>
      </c>
      <c r="R7" s="248" t="str">
        <f>IF(P7="","",J7*(1-'Támogatás szorzat tényezői'!$C$7)*P7)</f>
        <v/>
      </c>
      <c r="S7" s="249" t="str">
        <f t="shared" si="2"/>
        <v/>
      </c>
      <c r="T7" s="250" t="str">
        <f t="shared" si="3"/>
        <v/>
      </c>
      <c r="U7" s="251" t="str">
        <f t="shared" si="4"/>
        <v/>
      </c>
      <c r="V7" s="252" t="str">
        <f t="shared" si="5"/>
        <v/>
      </c>
    </row>
    <row r="8" spans="1:22" ht="30" customHeight="1" x14ac:dyDescent="0.25">
      <c r="A8" s="235"/>
      <c r="B8" s="100"/>
      <c r="C8" s="100"/>
      <c r="D8" s="102"/>
      <c r="E8" s="100"/>
      <c r="F8" s="102"/>
      <c r="G8" s="102"/>
      <c r="H8" s="96" t="str">
        <f>IFERROR(VLOOKUP(E8,'Szakmajegyzék 2021.I.1-'!$B$7:$C$181,2,0),"")</f>
        <v/>
      </c>
      <c r="I8" s="130" t="str">
        <f>IFERROR(VLOOKUP(E8,'Szakmajegyzék 2021.I.1-'!$B$7:$K$181,10,0),"")</f>
        <v/>
      </c>
      <c r="J8" s="136" t="str">
        <f>IFERROR(VLOOKUP(E8,'Szakmajegyzék 2021.I.1-'!$L$7:$R$181,6,0),"")</f>
        <v/>
      </c>
      <c r="K8" s="195" t="str">
        <f>IFERROR(VLOOKUP(E8,'Szakmajegyzék 2021.I.1-'!$L$7:$R$181,7,0)*('Támogatás szorzat tényezői'!$C$15/'Támogatás szorzat tényezői'!$C$14),"")</f>
        <v/>
      </c>
      <c r="L8" s="98" t="str">
        <f t="shared" si="1"/>
        <v/>
      </c>
      <c r="M8" s="120" t="str">
        <f>IFERROR((F8*K8*'Támogatás szorzat tényezői'!$C$7)+(G8*K8*'Támogatás szorzat tényezői'!$C$7*'Támogatás szorzat tényezői'!$C$8),"")</f>
        <v/>
      </c>
      <c r="N8" s="253"/>
      <c r="O8" s="254"/>
      <c r="P8" s="254"/>
      <c r="Q8" s="248" t="str">
        <f>IF(N8="","",K8*'Támogatás szorzat tényezői'!$C$7*N8)</f>
        <v/>
      </c>
      <c r="R8" s="248" t="str">
        <f>IF(P8="","",J8*(1-'Támogatás szorzat tényezői'!$C$7)*P8)</f>
        <v/>
      </c>
      <c r="S8" s="249" t="str">
        <f t="shared" si="2"/>
        <v/>
      </c>
      <c r="T8" s="250" t="str">
        <f t="shared" si="3"/>
        <v/>
      </c>
      <c r="U8" s="251" t="str">
        <f t="shared" si="4"/>
        <v/>
      </c>
      <c r="V8" s="252" t="str">
        <f t="shared" si="5"/>
        <v/>
      </c>
    </row>
    <row r="9" spans="1:22" ht="30" customHeight="1" x14ac:dyDescent="0.25">
      <c r="A9" s="235"/>
      <c r="B9" s="100"/>
      <c r="C9" s="100"/>
      <c r="D9" s="102"/>
      <c r="E9" s="100"/>
      <c r="F9" s="102"/>
      <c r="G9" s="102"/>
      <c r="H9" s="96" t="str">
        <f>IFERROR(VLOOKUP(E9,'Szakmajegyzék 2021.I.1-'!$B$7:$C$181,2,0),"")</f>
        <v/>
      </c>
      <c r="I9" s="130" t="str">
        <f>IFERROR(VLOOKUP(E9,'Szakmajegyzék 2021.I.1-'!$B$7:$K$181,10,0),"")</f>
        <v/>
      </c>
      <c r="J9" s="136" t="str">
        <f>IFERROR(VLOOKUP(E9,'Szakmajegyzék 2021.I.1-'!$L$7:$R$181,6,0),"")</f>
        <v/>
      </c>
      <c r="K9" s="195" t="str">
        <f>IFERROR(VLOOKUP(E9,'Szakmajegyzék 2021.I.1-'!$L$7:$R$181,7,0)*('Támogatás szorzat tényezői'!$C$15/'Támogatás szorzat tényezői'!$C$14),"")</f>
        <v/>
      </c>
      <c r="L9" s="98" t="str">
        <f t="shared" si="1"/>
        <v/>
      </c>
      <c r="M9" s="120" t="str">
        <f>IFERROR((F9*K9*'Támogatás szorzat tényezői'!$C$7)+(G9*K9*'Támogatás szorzat tényezői'!$C$7*'Támogatás szorzat tényezői'!$C$8),"")</f>
        <v/>
      </c>
      <c r="N9" s="253"/>
      <c r="O9" s="254"/>
      <c r="P9" s="254"/>
      <c r="Q9" s="248" t="str">
        <f>IF(N9="","",K9*'Támogatás szorzat tényezői'!$C$7*N9)</f>
        <v/>
      </c>
      <c r="R9" s="248" t="str">
        <f>IF(P9="","",J9*(1-'Támogatás szorzat tényezői'!$C$7)*P9)</f>
        <v/>
      </c>
      <c r="S9" s="249" t="str">
        <f t="shared" si="2"/>
        <v/>
      </c>
      <c r="T9" s="250" t="str">
        <f t="shared" si="3"/>
        <v/>
      </c>
      <c r="U9" s="251" t="str">
        <f t="shared" si="4"/>
        <v/>
      </c>
      <c r="V9" s="252" t="str">
        <f t="shared" si="5"/>
        <v/>
      </c>
    </row>
    <row r="10" spans="1:22" ht="30" customHeight="1" x14ac:dyDescent="0.25">
      <c r="A10" s="235"/>
      <c r="B10" s="100"/>
      <c r="C10" s="100"/>
      <c r="D10" s="102"/>
      <c r="E10" s="100"/>
      <c r="F10" s="102"/>
      <c r="G10" s="102"/>
      <c r="H10" s="96" t="str">
        <f>IFERROR(VLOOKUP(E10,'Szakmajegyzék 2021.I.1-'!$B$7:$C$181,2,0),"")</f>
        <v/>
      </c>
      <c r="I10" s="130" t="str">
        <f>IFERROR(VLOOKUP(E10,'Szakmajegyzék 2021.I.1-'!$B$7:$K$181,10,0),"")</f>
        <v/>
      </c>
      <c r="J10" s="136" t="str">
        <f>IFERROR(VLOOKUP(E10,'Szakmajegyzék 2021.I.1-'!$L$7:$R$181,6,0),"")</f>
        <v/>
      </c>
      <c r="K10" s="195" t="str">
        <f>IFERROR(VLOOKUP(E10,'Szakmajegyzék 2021.I.1-'!$L$7:$R$181,7,0)*('Támogatás szorzat tényezői'!$C$15/'Támogatás szorzat tényezői'!$C$14),"")</f>
        <v/>
      </c>
      <c r="L10" s="98" t="str">
        <f t="shared" si="1"/>
        <v/>
      </c>
      <c r="M10" s="120" t="str">
        <f>IFERROR((F10*K10*'Támogatás szorzat tényezői'!$C$7)+(G10*K10*'Támogatás szorzat tényezői'!$C$7*'Támogatás szorzat tényezői'!$C$8),"")</f>
        <v/>
      </c>
      <c r="N10" s="253"/>
      <c r="O10" s="254"/>
      <c r="P10" s="254"/>
      <c r="Q10" s="248" t="str">
        <f>IF(N10="","",K10*'Támogatás szorzat tényezői'!$C$7*N10)</f>
        <v/>
      </c>
      <c r="R10" s="248" t="str">
        <f>IF(P10="","",J10*(1-'Támogatás szorzat tényezői'!$C$7)*P10)</f>
        <v/>
      </c>
      <c r="S10" s="249" t="str">
        <f t="shared" si="2"/>
        <v/>
      </c>
      <c r="T10" s="250" t="str">
        <f t="shared" si="3"/>
        <v/>
      </c>
      <c r="U10" s="251" t="str">
        <f t="shared" si="4"/>
        <v/>
      </c>
      <c r="V10" s="252" t="str">
        <f t="shared" si="5"/>
        <v/>
      </c>
    </row>
    <row r="11" spans="1:22" ht="30" customHeight="1" x14ac:dyDescent="0.25">
      <c r="A11" s="235"/>
      <c r="B11" s="100"/>
      <c r="C11" s="100"/>
      <c r="D11" s="102"/>
      <c r="E11" s="100"/>
      <c r="F11" s="102"/>
      <c r="G11" s="102"/>
      <c r="H11" s="96" t="str">
        <f>IFERROR(VLOOKUP(E11,'Szakmajegyzék 2021.I.1-'!$B$7:$C$181,2,0),"")</f>
        <v/>
      </c>
      <c r="I11" s="130" t="str">
        <f>IFERROR(VLOOKUP(E11,'Szakmajegyzék 2021.I.1-'!$B$7:$K$181,10,0),"")</f>
        <v/>
      </c>
      <c r="J11" s="136" t="str">
        <f>IFERROR(VLOOKUP(E11,'Szakmajegyzék 2021.I.1-'!$L$7:$R$181,6,0),"")</f>
        <v/>
      </c>
      <c r="K11" s="195" t="str">
        <f>IFERROR(VLOOKUP(E11,'Szakmajegyzék 2021.I.1-'!$L$7:$R$181,7,0)*('Támogatás szorzat tényezői'!$C$15/'Támogatás szorzat tényezői'!$C$14),"")</f>
        <v/>
      </c>
      <c r="L11" s="98" t="str">
        <f t="shared" si="1"/>
        <v/>
      </c>
      <c r="M11" s="120" t="str">
        <f>IFERROR((F11*K11*'Támogatás szorzat tényezői'!$C$7)+(G11*K11*'Támogatás szorzat tényezői'!$C$7*'Támogatás szorzat tényezői'!$C$8),"")</f>
        <v/>
      </c>
      <c r="N11" s="253"/>
      <c r="O11" s="254"/>
      <c r="P11" s="254"/>
      <c r="Q11" s="248" t="str">
        <f>IF(N11="","",K11*'Támogatás szorzat tényezői'!$C$7*N11)</f>
        <v/>
      </c>
      <c r="R11" s="248" t="str">
        <f>IF(P11="","",J11*(1-'Támogatás szorzat tényezői'!$C$7)*P11)</f>
        <v/>
      </c>
      <c r="S11" s="249" t="str">
        <f t="shared" si="2"/>
        <v/>
      </c>
      <c r="T11" s="250" t="str">
        <f t="shared" si="3"/>
        <v/>
      </c>
      <c r="U11" s="251" t="str">
        <f t="shared" si="4"/>
        <v/>
      </c>
      <c r="V11" s="252" t="str">
        <f t="shared" si="5"/>
        <v/>
      </c>
    </row>
    <row r="12" spans="1:22" ht="30" customHeight="1" x14ac:dyDescent="0.25">
      <c r="A12" s="235"/>
      <c r="B12" s="100"/>
      <c r="C12" s="100"/>
      <c r="D12" s="102"/>
      <c r="E12" s="100"/>
      <c r="F12" s="102"/>
      <c r="G12" s="102"/>
      <c r="H12" s="96" t="str">
        <f>IFERROR(VLOOKUP(E12,'Szakmajegyzék 2021.I.1-'!$B$7:$C$181,2,0),"")</f>
        <v/>
      </c>
      <c r="I12" s="130" t="str">
        <f>IFERROR(VLOOKUP(E12,'Szakmajegyzék 2021.I.1-'!$B$7:$K$181,10,0),"")</f>
        <v/>
      </c>
      <c r="J12" s="136" t="str">
        <f>IFERROR(VLOOKUP(E12,'Szakmajegyzék 2021.I.1-'!$L$7:$R$181,6,0),"")</f>
        <v/>
      </c>
      <c r="K12" s="195" t="str">
        <f>IFERROR(VLOOKUP(E12,'Szakmajegyzék 2021.I.1-'!$L$7:$R$181,7,0)*('Támogatás szorzat tényezői'!$C$15/'Támogatás szorzat tényezői'!$C$14),"")</f>
        <v/>
      </c>
      <c r="L12" s="98" t="str">
        <f t="shared" si="1"/>
        <v/>
      </c>
      <c r="M12" s="120" t="str">
        <f>IFERROR((F12*K12*'Támogatás szorzat tényezői'!$C$7)+(G12*K12*'Támogatás szorzat tényezői'!$C$7*'Támogatás szorzat tényezői'!$C$8),"")</f>
        <v/>
      </c>
      <c r="N12" s="253"/>
      <c r="O12" s="254"/>
      <c r="P12" s="254"/>
      <c r="Q12" s="248" t="str">
        <f>IF(N12="","",K12*'Támogatás szorzat tényezői'!$C$7*N12)</f>
        <v/>
      </c>
      <c r="R12" s="248" t="str">
        <f>IF(P12="","",J12*(1-'Támogatás szorzat tényezői'!$C$7)*P12)</f>
        <v/>
      </c>
      <c r="S12" s="249" t="str">
        <f t="shared" si="2"/>
        <v/>
      </c>
      <c r="T12" s="250" t="str">
        <f t="shared" si="3"/>
        <v/>
      </c>
      <c r="U12" s="251" t="str">
        <f t="shared" si="4"/>
        <v/>
      </c>
      <c r="V12" s="252" t="str">
        <f t="shared" si="5"/>
        <v/>
      </c>
    </row>
    <row r="13" spans="1:22" ht="30" customHeight="1" x14ac:dyDescent="0.25">
      <c r="A13" s="235"/>
      <c r="B13" s="100"/>
      <c r="C13" s="100"/>
      <c r="D13" s="102"/>
      <c r="E13" s="100"/>
      <c r="F13" s="102"/>
      <c r="G13" s="102"/>
      <c r="H13" s="96" t="str">
        <f>IFERROR(VLOOKUP(E13,'Szakmajegyzék 2021.I.1-'!$B$7:$C$181,2,0),"")</f>
        <v/>
      </c>
      <c r="I13" s="130" t="str">
        <f>IFERROR(VLOOKUP(E13,'Szakmajegyzék 2021.I.1-'!$B$7:$K$181,10,0),"")</f>
        <v/>
      </c>
      <c r="J13" s="136" t="str">
        <f>IFERROR(VLOOKUP(E13,'Szakmajegyzék 2021.I.1-'!$L$7:$R$181,6,0),"")</f>
        <v/>
      </c>
      <c r="K13" s="195" t="str">
        <f>IFERROR(VLOOKUP(E13,'Szakmajegyzék 2021.I.1-'!$L$7:$R$181,7,0)*('Támogatás szorzat tényezői'!$C$15/'Támogatás szorzat tényezői'!$C$14),"")</f>
        <v/>
      </c>
      <c r="L13" s="98" t="str">
        <f t="shared" si="1"/>
        <v/>
      </c>
      <c r="M13" s="120" t="str">
        <f>IFERROR((F13*K13*'Támogatás szorzat tényezői'!$C$7)+(G13*K13*'Támogatás szorzat tényezői'!$C$7*'Támogatás szorzat tényezői'!$C$8),"")</f>
        <v/>
      </c>
      <c r="N13" s="253"/>
      <c r="O13" s="254"/>
      <c r="P13" s="254"/>
      <c r="Q13" s="248" t="str">
        <f>IF(N13="","",K13*'Támogatás szorzat tényezői'!$C$7*N13)</f>
        <v/>
      </c>
      <c r="R13" s="248" t="str">
        <f>IF(P13="","",J13*(1-'Támogatás szorzat tényezői'!$C$7)*P13)</f>
        <v/>
      </c>
      <c r="S13" s="249" t="str">
        <f t="shared" si="2"/>
        <v/>
      </c>
      <c r="T13" s="250" t="str">
        <f t="shared" si="3"/>
        <v/>
      </c>
      <c r="U13" s="251" t="str">
        <f t="shared" si="4"/>
        <v/>
      </c>
      <c r="V13" s="252" t="str">
        <f t="shared" si="5"/>
        <v/>
      </c>
    </row>
    <row r="14" spans="1:22" ht="30" customHeight="1" x14ac:dyDescent="0.25">
      <c r="A14" s="235"/>
      <c r="B14" s="100"/>
      <c r="C14" s="100"/>
      <c r="D14" s="102"/>
      <c r="E14" s="100"/>
      <c r="F14" s="102"/>
      <c r="G14" s="102"/>
      <c r="H14" s="96" t="str">
        <f>IFERROR(VLOOKUP(E14,'Szakmajegyzék 2021.I.1-'!$B$7:$C$181,2,0),"")</f>
        <v/>
      </c>
      <c r="I14" s="130" t="str">
        <f>IFERROR(VLOOKUP(E14,'Szakmajegyzék 2021.I.1-'!$B$7:$K$181,10,0),"")</f>
        <v/>
      </c>
      <c r="J14" s="136" t="str">
        <f>IFERROR(VLOOKUP(E14,'Szakmajegyzék 2021.I.1-'!$L$7:$R$181,6,0),"")</f>
        <v/>
      </c>
      <c r="K14" s="195" t="str">
        <f>IFERROR(VLOOKUP(E14,'Szakmajegyzék 2021.I.1-'!$L$7:$R$181,7,0)*('Támogatás szorzat tényezői'!$C$15/'Támogatás szorzat tényezői'!$C$14),"")</f>
        <v/>
      </c>
      <c r="L14" s="98" t="str">
        <f t="shared" si="1"/>
        <v/>
      </c>
      <c r="M14" s="120" t="str">
        <f>IFERROR((F14*K14*'Támogatás szorzat tényezői'!$C$7)+(G14*K14*'Támogatás szorzat tényezői'!$C$7*'Támogatás szorzat tényezői'!$C$8),"")</f>
        <v/>
      </c>
      <c r="N14" s="253"/>
      <c r="O14" s="254"/>
      <c r="P14" s="254"/>
      <c r="Q14" s="248" t="str">
        <f>IF(N14="","",K14*'Támogatás szorzat tényezői'!$C$7*N14)</f>
        <v/>
      </c>
      <c r="R14" s="248" t="str">
        <f>IF(P14="","",J14*(1-'Támogatás szorzat tényezői'!$C$7)*P14)</f>
        <v/>
      </c>
      <c r="S14" s="249" t="str">
        <f t="shared" si="2"/>
        <v/>
      </c>
      <c r="T14" s="250" t="str">
        <f t="shared" si="3"/>
        <v/>
      </c>
      <c r="U14" s="251" t="str">
        <f t="shared" si="4"/>
        <v/>
      </c>
      <c r="V14" s="252" t="str">
        <f t="shared" si="5"/>
        <v/>
      </c>
    </row>
    <row r="15" spans="1:22" ht="30" customHeight="1" x14ac:dyDescent="0.25">
      <c r="A15" s="235"/>
      <c r="B15" s="100"/>
      <c r="C15" s="100"/>
      <c r="D15" s="102"/>
      <c r="E15" s="100"/>
      <c r="F15" s="102"/>
      <c r="G15" s="102"/>
      <c r="H15" s="96" t="str">
        <f>IFERROR(VLOOKUP(E15,'Szakmajegyzék 2021.I.1-'!$B$7:$C$181,2,0),"")</f>
        <v/>
      </c>
      <c r="I15" s="130" t="str">
        <f>IFERROR(VLOOKUP(E15,'Szakmajegyzék 2021.I.1-'!$B$7:$K$181,10,0),"")</f>
        <v/>
      </c>
      <c r="J15" s="136" t="str">
        <f>IFERROR(VLOOKUP(E15,'Szakmajegyzék 2021.I.1-'!$L$7:$R$181,6,0),"")</f>
        <v/>
      </c>
      <c r="K15" s="195" t="str">
        <f>IFERROR(VLOOKUP(E15,'Szakmajegyzék 2021.I.1-'!$L$7:$R$181,7,0)*('Támogatás szorzat tényezői'!$C$15/'Támogatás szorzat tényezői'!$C$14),"")</f>
        <v/>
      </c>
      <c r="L15" s="98" t="str">
        <f t="shared" si="1"/>
        <v/>
      </c>
      <c r="M15" s="120" t="str">
        <f>IFERROR((F15*K15*'Támogatás szorzat tényezői'!$C$7)+(G15*K15*'Támogatás szorzat tényezői'!$C$7*'Támogatás szorzat tényezői'!$C$8),"")</f>
        <v/>
      </c>
      <c r="N15" s="253"/>
      <c r="O15" s="254"/>
      <c r="P15" s="254"/>
      <c r="Q15" s="248" t="str">
        <f>IF(N15="","",K15*'Támogatás szorzat tényezői'!$C$7*N15)</f>
        <v/>
      </c>
      <c r="R15" s="248" t="str">
        <f>IF(P15="","",J15*(1-'Támogatás szorzat tényezői'!$C$7)*P15)</f>
        <v/>
      </c>
      <c r="S15" s="249" t="str">
        <f t="shared" si="2"/>
        <v/>
      </c>
      <c r="T15" s="250" t="str">
        <f t="shared" si="3"/>
        <v/>
      </c>
      <c r="U15" s="251" t="str">
        <f t="shared" si="4"/>
        <v/>
      </c>
      <c r="V15" s="252" t="str">
        <f t="shared" si="5"/>
        <v/>
      </c>
    </row>
    <row r="16" spans="1:22" ht="30" customHeight="1" x14ac:dyDescent="0.25">
      <c r="A16" s="235"/>
      <c r="B16" s="100"/>
      <c r="C16" s="100"/>
      <c r="D16" s="102"/>
      <c r="E16" s="100"/>
      <c r="F16" s="102"/>
      <c r="G16" s="102"/>
      <c r="H16" s="96" t="str">
        <f>IFERROR(VLOOKUP(E16,'Szakmajegyzék 2021.I.1-'!$B$7:$C$181,2,0),"")</f>
        <v/>
      </c>
      <c r="I16" s="130" t="str">
        <f>IFERROR(VLOOKUP(E16,'Szakmajegyzék 2021.I.1-'!$B$7:$K$181,10,0),"")</f>
        <v/>
      </c>
      <c r="J16" s="136" t="str">
        <f>IFERROR(VLOOKUP(E16,'Szakmajegyzék 2021.I.1-'!$L$7:$R$181,6,0),"")</f>
        <v/>
      </c>
      <c r="K16" s="195" t="str">
        <f>IFERROR(VLOOKUP(E16,'Szakmajegyzék 2021.I.1-'!$L$7:$R$181,7,0)*('Támogatás szorzat tényezői'!$C$15/'Támogatás szorzat tényezői'!$C$14),"")</f>
        <v/>
      </c>
      <c r="L16" s="98" t="str">
        <f t="shared" si="1"/>
        <v/>
      </c>
      <c r="M16" s="120" t="str">
        <f>IFERROR((F16*K16*'Támogatás szorzat tényezői'!$C$7)+(G16*K16*'Támogatás szorzat tényezői'!$C$7*'Támogatás szorzat tényezői'!$C$8),"")</f>
        <v/>
      </c>
      <c r="N16" s="253"/>
      <c r="O16" s="254"/>
      <c r="P16" s="254"/>
      <c r="Q16" s="248" t="str">
        <f>IF(N16="","",K16*'Támogatás szorzat tényezői'!$C$7*N16)</f>
        <v/>
      </c>
      <c r="R16" s="248" t="str">
        <f>IF(P16="","",J16*(1-'Támogatás szorzat tényezői'!$C$7)*P16)</f>
        <v/>
      </c>
      <c r="S16" s="249" t="str">
        <f t="shared" si="2"/>
        <v/>
      </c>
      <c r="T16" s="250" t="str">
        <f t="shared" si="3"/>
        <v/>
      </c>
      <c r="U16" s="251" t="str">
        <f t="shared" si="4"/>
        <v/>
      </c>
      <c r="V16" s="252" t="str">
        <f t="shared" si="5"/>
        <v/>
      </c>
    </row>
    <row r="17" spans="1:22" ht="30" customHeight="1" x14ac:dyDescent="0.25">
      <c r="A17" s="235"/>
      <c r="B17" s="100"/>
      <c r="C17" s="100"/>
      <c r="D17" s="102"/>
      <c r="E17" s="100"/>
      <c r="F17" s="102"/>
      <c r="G17" s="102"/>
      <c r="H17" s="96" t="str">
        <f>IFERROR(VLOOKUP(E17,'Szakmajegyzék 2021.I.1-'!$B$7:$C$181,2,0),"")</f>
        <v/>
      </c>
      <c r="I17" s="130" t="str">
        <f>IFERROR(VLOOKUP(E17,'Szakmajegyzék 2021.I.1-'!$B$7:$K$181,10,0),"")</f>
        <v/>
      </c>
      <c r="J17" s="136" t="str">
        <f>IFERROR(VLOOKUP(E17,'Szakmajegyzék 2021.I.1-'!$L$7:$R$181,6,0),"")</f>
        <v/>
      </c>
      <c r="K17" s="195" t="str">
        <f>IFERROR(VLOOKUP(E17,'Szakmajegyzék 2021.I.1-'!$L$7:$R$181,7,0)*('Támogatás szorzat tényezői'!$C$15/'Támogatás szorzat tényezői'!$C$14),"")</f>
        <v/>
      </c>
      <c r="L17" s="98" t="str">
        <f t="shared" si="1"/>
        <v/>
      </c>
      <c r="M17" s="120" t="str">
        <f>IFERROR((F17*K17*'Támogatás szorzat tényezői'!$C$7)+(G17*K17*'Támogatás szorzat tényezői'!$C$7*'Támogatás szorzat tényezői'!$C$8),"")</f>
        <v/>
      </c>
      <c r="N17" s="253"/>
      <c r="O17" s="254"/>
      <c r="P17" s="254"/>
      <c r="Q17" s="248" t="str">
        <f>IF(N17="","",K17*'Támogatás szorzat tényezői'!$C$7*N17)</f>
        <v/>
      </c>
      <c r="R17" s="248" t="str">
        <f>IF(P17="","",J17*(1-'Támogatás szorzat tényezői'!$C$7)*P17)</f>
        <v/>
      </c>
      <c r="S17" s="249" t="str">
        <f t="shared" si="2"/>
        <v/>
      </c>
      <c r="T17" s="250" t="str">
        <f t="shared" si="3"/>
        <v/>
      </c>
      <c r="U17" s="251" t="str">
        <f t="shared" si="4"/>
        <v/>
      </c>
      <c r="V17" s="252" t="str">
        <f t="shared" si="5"/>
        <v/>
      </c>
    </row>
    <row r="18" spans="1:22" ht="30" customHeight="1" x14ac:dyDescent="0.25">
      <c r="A18" s="235"/>
      <c r="B18" s="100"/>
      <c r="C18" s="100"/>
      <c r="D18" s="102"/>
      <c r="E18" s="100"/>
      <c r="F18" s="102"/>
      <c r="G18" s="102"/>
      <c r="H18" s="96" t="str">
        <f>IFERROR(VLOOKUP(E18,'Szakmajegyzék 2021.I.1-'!$B$7:$C$181,2,0),"")</f>
        <v/>
      </c>
      <c r="I18" s="130" t="str">
        <f>IFERROR(VLOOKUP(E18,'Szakmajegyzék 2021.I.1-'!$B$7:$K$181,10,0),"")</f>
        <v/>
      </c>
      <c r="J18" s="136" t="str">
        <f>IFERROR(VLOOKUP(E18,'Szakmajegyzék 2021.I.1-'!$L$7:$R$181,6,0),"")</f>
        <v/>
      </c>
      <c r="K18" s="195" t="str">
        <f>IFERROR(VLOOKUP(E18,'Szakmajegyzék 2021.I.1-'!$L$7:$R$181,7,0)*('Támogatás szorzat tényezői'!$C$15/'Támogatás szorzat tényezői'!$C$14),"")</f>
        <v/>
      </c>
      <c r="L18" s="98" t="str">
        <f t="shared" si="1"/>
        <v/>
      </c>
      <c r="M18" s="120" t="str">
        <f>IFERROR((F18*K18*'Támogatás szorzat tényezői'!$C$7)+(G18*K18*'Támogatás szorzat tényezői'!$C$7*'Támogatás szorzat tényezői'!$C$8),"")</f>
        <v/>
      </c>
      <c r="N18" s="253"/>
      <c r="O18" s="254"/>
      <c r="P18" s="254"/>
      <c r="Q18" s="248" t="str">
        <f>IF(N18="","",K18*'Támogatás szorzat tényezői'!$C$7*N18)</f>
        <v/>
      </c>
      <c r="R18" s="248" t="str">
        <f>IF(P18="","",J18*(1-'Támogatás szorzat tényezői'!$C$7)*P18)</f>
        <v/>
      </c>
      <c r="S18" s="249" t="str">
        <f t="shared" si="2"/>
        <v/>
      </c>
      <c r="T18" s="250" t="str">
        <f t="shared" si="3"/>
        <v/>
      </c>
      <c r="U18" s="251" t="str">
        <f t="shared" si="4"/>
        <v/>
      </c>
      <c r="V18" s="252" t="str">
        <f t="shared" si="5"/>
        <v/>
      </c>
    </row>
    <row r="19" spans="1:22" ht="30" customHeight="1" x14ac:dyDescent="0.25">
      <c r="A19" s="235"/>
      <c r="B19" s="100"/>
      <c r="C19" s="100"/>
      <c r="D19" s="102"/>
      <c r="E19" s="100"/>
      <c r="F19" s="102"/>
      <c r="G19" s="102"/>
      <c r="H19" s="96" t="str">
        <f>IFERROR(VLOOKUP(E19,'Szakmajegyzék 2021.I.1-'!$B$7:$C$181,2,0),"")</f>
        <v/>
      </c>
      <c r="I19" s="130" t="str">
        <f>IFERROR(VLOOKUP(E19,'Szakmajegyzék 2021.I.1-'!$B$7:$K$181,10,0),"")</f>
        <v/>
      </c>
      <c r="J19" s="136" t="str">
        <f>IFERROR(VLOOKUP(E19,'Szakmajegyzék 2021.I.1-'!$L$7:$R$181,6,0),"")</f>
        <v/>
      </c>
      <c r="K19" s="195" t="str">
        <f>IFERROR(VLOOKUP(E19,'Szakmajegyzék 2021.I.1-'!$L$7:$R$181,7,0)*('Támogatás szorzat tényezői'!$C$15/'Támogatás szorzat tényezői'!$C$14),"")</f>
        <v/>
      </c>
      <c r="L19" s="98" t="str">
        <f t="shared" si="1"/>
        <v/>
      </c>
      <c r="M19" s="120" t="str">
        <f>IFERROR((F19*K19*'Támogatás szorzat tényezői'!$C$7)+(G19*K19*'Támogatás szorzat tényezői'!$C$7*'Támogatás szorzat tényezői'!$C$8),"")</f>
        <v/>
      </c>
      <c r="N19" s="253"/>
      <c r="O19" s="254"/>
      <c r="P19" s="254"/>
      <c r="Q19" s="248" t="str">
        <f>IF(N19="","",K19*'Támogatás szorzat tényezői'!$C$7*N19)</f>
        <v/>
      </c>
      <c r="R19" s="248" t="str">
        <f>IF(P19="","",J19*(1-'Támogatás szorzat tényezői'!$C$7)*P19)</f>
        <v/>
      </c>
      <c r="S19" s="249" t="str">
        <f t="shared" si="2"/>
        <v/>
      </c>
      <c r="T19" s="250" t="str">
        <f t="shared" si="3"/>
        <v/>
      </c>
      <c r="U19" s="251" t="str">
        <f t="shared" si="4"/>
        <v/>
      </c>
      <c r="V19" s="252" t="str">
        <f t="shared" si="5"/>
        <v/>
      </c>
    </row>
    <row r="20" spans="1:22" ht="30" customHeight="1" x14ac:dyDescent="0.25">
      <c r="A20" s="235"/>
      <c r="B20" s="100"/>
      <c r="C20" s="100"/>
      <c r="D20" s="102"/>
      <c r="E20" s="100"/>
      <c r="F20" s="102"/>
      <c r="G20" s="102"/>
      <c r="H20" s="96" t="str">
        <f>IFERROR(VLOOKUP(E20,'Szakmajegyzék 2021.I.1-'!$B$7:$C$181,2,0),"")</f>
        <v/>
      </c>
      <c r="I20" s="130" t="str">
        <f>IFERROR(VLOOKUP(E20,'Szakmajegyzék 2021.I.1-'!$B$7:$K$181,10,0),"")</f>
        <v/>
      </c>
      <c r="J20" s="136" t="str">
        <f>IFERROR(VLOOKUP(E20,'Szakmajegyzék 2021.I.1-'!$L$7:$R$181,6,0),"")</f>
        <v/>
      </c>
      <c r="K20" s="195" t="str">
        <f>IFERROR(VLOOKUP(E20,'Szakmajegyzék 2021.I.1-'!$L$7:$R$181,7,0)*('Támogatás szorzat tényezői'!$C$15/'Támogatás szorzat tényezői'!$C$14),"")</f>
        <v/>
      </c>
      <c r="L20" s="98" t="str">
        <f t="shared" si="1"/>
        <v/>
      </c>
      <c r="M20" s="120" t="str">
        <f>IFERROR((F20*K20*'Támogatás szorzat tényezői'!$C$7)+(G20*K20*'Támogatás szorzat tényezői'!$C$7*'Támogatás szorzat tényezői'!$C$8),"")</f>
        <v/>
      </c>
      <c r="N20" s="253"/>
      <c r="O20" s="254"/>
      <c r="P20" s="254"/>
      <c r="Q20" s="248" t="str">
        <f>IF(N20="","",K20*'Támogatás szorzat tényezői'!$C$7*N20)</f>
        <v/>
      </c>
      <c r="R20" s="248" t="str">
        <f>IF(P20="","",J20*(1-'Támogatás szorzat tényezői'!$C$7)*P20)</f>
        <v/>
      </c>
      <c r="S20" s="249" t="str">
        <f t="shared" si="2"/>
        <v/>
      </c>
      <c r="T20" s="250" t="str">
        <f t="shared" si="3"/>
        <v/>
      </c>
      <c r="U20" s="251" t="str">
        <f t="shared" si="4"/>
        <v/>
      </c>
      <c r="V20" s="252" t="str">
        <f t="shared" si="5"/>
        <v/>
      </c>
    </row>
    <row r="21" spans="1:22" ht="30" customHeight="1" x14ac:dyDescent="0.25">
      <c r="A21" s="235"/>
      <c r="B21" s="100"/>
      <c r="C21" s="100"/>
      <c r="D21" s="102"/>
      <c r="E21" s="100"/>
      <c r="F21" s="102"/>
      <c r="G21" s="102"/>
      <c r="H21" s="96" t="str">
        <f>IFERROR(VLOOKUP(E21,'Szakmajegyzék 2021.I.1-'!$B$7:$C$181,2,0),"")</f>
        <v/>
      </c>
      <c r="I21" s="130" t="str">
        <f>IFERROR(VLOOKUP(E21,'Szakmajegyzék 2021.I.1-'!$B$7:$K$181,10,0),"")</f>
        <v/>
      </c>
      <c r="J21" s="136" t="str">
        <f>IFERROR(VLOOKUP(E21,'Szakmajegyzék 2021.I.1-'!$L$7:$R$181,6,0),"")</f>
        <v/>
      </c>
      <c r="K21" s="195" t="str">
        <f>IFERROR(VLOOKUP(E21,'Szakmajegyzék 2021.I.1-'!$L$7:$R$181,7,0)*('Támogatás szorzat tényezői'!$C$15/'Támogatás szorzat tényezői'!$C$14),"")</f>
        <v/>
      </c>
      <c r="L21" s="98" t="str">
        <f t="shared" si="1"/>
        <v/>
      </c>
      <c r="M21" s="120" t="str">
        <f>IFERROR((F21*K21*'Támogatás szorzat tényezői'!$C$7)+(G21*K21*'Támogatás szorzat tényezői'!$C$7*'Támogatás szorzat tényezői'!$C$8),"")</f>
        <v/>
      </c>
      <c r="N21" s="253"/>
      <c r="O21" s="254"/>
      <c r="P21" s="254"/>
      <c r="Q21" s="248" t="str">
        <f>IF(N21="","",K21*'Támogatás szorzat tényezői'!$C$7*N21)</f>
        <v/>
      </c>
      <c r="R21" s="248" t="str">
        <f>IF(P21="","",J21*(1-'Támogatás szorzat tényezői'!$C$7)*P21)</f>
        <v/>
      </c>
      <c r="S21" s="249" t="str">
        <f t="shared" si="2"/>
        <v/>
      </c>
      <c r="T21" s="250" t="str">
        <f t="shared" si="3"/>
        <v/>
      </c>
      <c r="U21" s="251" t="str">
        <f t="shared" si="4"/>
        <v/>
      </c>
      <c r="V21" s="252" t="str">
        <f t="shared" si="5"/>
        <v/>
      </c>
    </row>
    <row r="22" spans="1:22" ht="30" customHeight="1" x14ac:dyDescent="0.25">
      <c r="A22" s="235"/>
      <c r="B22" s="100"/>
      <c r="C22" s="100"/>
      <c r="D22" s="102"/>
      <c r="E22" s="100"/>
      <c r="F22" s="102"/>
      <c r="G22" s="102"/>
      <c r="H22" s="96" t="str">
        <f>IFERROR(VLOOKUP(E22,'Szakmajegyzék 2021.I.1-'!$B$7:$C$181,2,0),"")</f>
        <v/>
      </c>
      <c r="I22" s="130" t="str">
        <f>IFERROR(VLOOKUP(E22,'Szakmajegyzék 2021.I.1-'!$B$7:$K$181,10,0),"")</f>
        <v/>
      </c>
      <c r="J22" s="136" t="str">
        <f>IFERROR(VLOOKUP(E22,'Szakmajegyzék 2021.I.1-'!$L$7:$R$181,6,0),"")</f>
        <v/>
      </c>
      <c r="K22" s="195" t="str">
        <f>IFERROR(VLOOKUP(E22,'Szakmajegyzék 2021.I.1-'!$L$7:$R$181,7,0)*('Támogatás szorzat tényezői'!$C$15/'Támogatás szorzat tényezői'!$C$14),"")</f>
        <v/>
      </c>
      <c r="L22" s="98" t="str">
        <f t="shared" si="1"/>
        <v/>
      </c>
      <c r="M22" s="120" t="str">
        <f>IFERROR((F22*K22*'Támogatás szorzat tényezői'!$C$7)+(G22*K22*'Támogatás szorzat tényezői'!$C$7*'Támogatás szorzat tényezői'!$C$8),"")</f>
        <v/>
      </c>
      <c r="N22" s="253"/>
      <c r="O22" s="254"/>
      <c r="P22" s="254"/>
      <c r="Q22" s="248" t="str">
        <f>IF(N22="","",K22*'Támogatás szorzat tényezői'!$C$7*N22)</f>
        <v/>
      </c>
      <c r="R22" s="248" t="str">
        <f>IF(P22="","",J22*(1-'Támogatás szorzat tényezői'!$C$7)*P22)</f>
        <v/>
      </c>
      <c r="S22" s="249" t="str">
        <f t="shared" si="2"/>
        <v/>
      </c>
      <c r="T22" s="250" t="str">
        <f t="shared" si="3"/>
        <v/>
      </c>
      <c r="U22" s="251" t="str">
        <f t="shared" si="4"/>
        <v/>
      </c>
      <c r="V22" s="252" t="str">
        <f t="shared" si="5"/>
        <v/>
      </c>
    </row>
    <row r="23" spans="1:22" ht="30" customHeight="1" x14ac:dyDescent="0.25">
      <c r="A23" s="235"/>
      <c r="B23" s="100"/>
      <c r="C23" s="100"/>
      <c r="D23" s="102"/>
      <c r="E23" s="100"/>
      <c r="F23" s="102"/>
      <c r="G23" s="102"/>
      <c r="H23" s="96" t="str">
        <f>IFERROR(VLOOKUP(E23,'Szakmajegyzék 2021.I.1-'!$B$7:$C$181,2,0),"")</f>
        <v/>
      </c>
      <c r="I23" s="130" t="str">
        <f>IFERROR(VLOOKUP(E23,'Szakmajegyzék 2021.I.1-'!$B$7:$K$181,10,0),"")</f>
        <v/>
      </c>
      <c r="J23" s="136" t="str">
        <f>IFERROR(VLOOKUP(E23,'Szakmajegyzék 2021.I.1-'!$L$7:$R$181,6,0),"")</f>
        <v/>
      </c>
      <c r="K23" s="195" t="str">
        <f>IFERROR(VLOOKUP(E23,'Szakmajegyzék 2021.I.1-'!$L$7:$R$181,7,0)*('Támogatás szorzat tényezői'!$C$15/'Támogatás szorzat tényezői'!$C$14),"")</f>
        <v/>
      </c>
      <c r="L23" s="98" t="str">
        <f t="shared" si="1"/>
        <v/>
      </c>
      <c r="M23" s="120" t="str">
        <f>IFERROR((F23*K23*'Támogatás szorzat tényezői'!$C$7)+(G23*K23*'Támogatás szorzat tényezői'!$C$7*'Támogatás szorzat tényezői'!$C$8),"")</f>
        <v/>
      </c>
      <c r="N23" s="253"/>
      <c r="O23" s="254"/>
      <c r="P23" s="254"/>
      <c r="Q23" s="248" t="str">
        <f>IF(N23="","",K23*'Támogatás szorzat tényezői'!$C$7*N23)</f>
        <v/>
      </c>
      <c r="R23" s="248" t="str">
        <f>IF(P23="","",J23*(1-'Támogatás szorzat tényezői'!$C$7)*P23)</f>
        <v/>
      </c>
      <c r="S23" s="249" t="str">
        <f t="shared" si="2"/>
        <v/>
      </c>
      <c r="T23" s="250" t="str">
        <f t="shared" si="3"/>
        <v/>
      </c>
      <c r="U23" s="251" t="str">
        <f t="shared" si="4"/>
        <v/>
      </c>
      <c r="V23" s="252" t="str">
        <f t="shared" si="5"/>
        <v/>
      </c>
    </row>
    <row r="24" spans="1:22" ht="30" customHeight="1" x14ac:dyDescent="0.25">
      <c r="A24" s="235"/>
      <c r="B24" s="100"/>
      <c r="C24" s="100"/>
      <c r="D24" s="102"/>
      <c r="E24" s="100"/>
      <c r="F24" s="102"/>
      <c r="G24" s="102"/>
      <c r="H24" s="96" t="str">
        <f>IFERROR(VLOOKUP(E24,'Szakmajegyzék 2021.I.1-'!$B$7:$C$181,2,0),"")</f>
        <v/>
      </c>
      <c r="I24" s="130" t="str">
        <f>IFERROR(VLOOKUP(E24,'Szakmajegyzék 2021.I.1-'!$B$7:$K$181,10,0),"")</f>
        <v/>
      </c>
      <c r="J24" s="136" t="str">
        <f>IFERROR(VLOOKUP(E24,'Szakmajegyzék 2021.I.1-'!$L$7:$R$181,6,0),"")</f>
        <v/>
      </c>
      <c r="K24" s="195" t="str">
        <f>IFERROR(VLOOKUP(E24,'Szakmajegyzék 2021.I.1-'!$L$7:$R$181,7,0)*('Támogatás szorzat tényezői'!$C$15/'Támogatás szorzat tényezői'!$C$14),"")</f>
        <v/>
      </c>
      <c r="L24" s="98" t="str">
        <f t="shared" si="1"/>
        <v/>
      </c>
      <c r="M24" s="120" t="str">
        <f>IFERROR((F24*K24*'Támogatás szorzat tényezői'!$C$7)+(G24*K24*'Támogatás szorzat tényezői'!$C$7*'Támogatás szorzat tényezői'!$C$8),"")</f>
        <v/>
      </c>
      <c r="N24" s="253"/>
      <c r="O24" s="254"/>
      <c r="P24" s="254"/>
      <c r="Q24" s="248" t="str">
        <f>IF(N24="","",K24*'Támogatás szorzat tényezői'!$C$7*N24)</f>
        <v/>
      </c>
      <c r="R24" s="248" t="str">
        <f>IF(P24="","",J24*(1-'Támogatás szorzat tényezői'!$C$7)*P24)</f>
        <v/>
      </c>
      <c r="S24" s="249" t="str">
        <f t="shared" si="2"/>
        <v/>
      </c>
      <c r="T24" s="250" t="str">
        <f t="shared" si="3"/>
        <v/>
      </c>
      <c r="U24" s="251" t="str">
        <f t="shared" si="4"/>
        <v/>
      </c>
      <c r="V24" s="252" t="str">
        <f t="shared" si="5"/>
        <v/>
      </c>
    </row>
    <row r="25" spans="1:22" ht="30" customHeight="1" x14ac:dyDescent="0.25">
      <c r="A25" s="235"/>
      <c r="B25" s="100"/>
      <c r="C25" s="100"/>
      <c r="D25" s="102"/>
      <c r="E25" s="100"/>
      <c r="F25" s="102"/>
      <c r="G25" s="102"/>
      <c r="H25" s="96" t="str">
        <f>IFERROR(VLOOKUP(E25,'Szakmajegyzék 2021.I.1-'!$B$7:$C$181,2,0),"")</f>
        <v/>
      </c>
      <c r="I25" s="130" t="str">
        <f>IFERROR(VLOOKUP(E25,'Szakmajegyzék 2021.I.1-'!$B$7:$K$181,10,0),"")</f>
        <v/>
      </c>
      <c r="J25" s="136" t="str">
        <f>IFERROR(VLOOKUP(E25,'Szakmajegyzék 2021.I.1-'!$L$7:$R$181,6,0),"")</f>
        <v/>
      </c>
      <c r="K25" s="195" t="str">
        <f>IFERROR(VLOOKUP(E25,'Szakmajegyzék 2021.I.1-'!$L$7:$R$181,7,0)*('Támogatás szorzat tényezői'!$C$15/'Támogatás szorzat tényezői'!$C$14),"")</f>
        <v/>
      </c>
      <c r="L25" s="98" t="str">
        <f t="shared" si="1"/>
        <v/>
      </c>
      <c r="M25" s="120" t="str">
        <f>IFERROR((F25*K25*'Támogatás szorzat tényezői'!$C$7)+(G25*K25*'Támogatás szorzat tényezői'!$C$7*'Támogatás szorzat tényezői'!$C$8),"")</f>
        <v/>
      </c>
      <c r="N25" s="253"/>
      <c r="O25" s="254"/>
      <c r="P25" s="254"/>
      <c r="Q25" s="248" t="str">
        <f>IF(N25="","",K25*'Támogatás szorzat tényezői'!$C$7*N25)</f>
        <v/>
      </c>
      <c r="R25" s="248" t="str">
        <f>IF(P25="","",J25*(1-'Támogatás szorzat tényezői'!$C$7)*P25)</f>
        <v/>
      </c>
      <c r="S25" s="249" t="str">
        <f t="shared" si="2"/>
        <v/>
      </c>
      <c r="T25" s="250" t="str">
        <f t="shared" si="3"/>
        <v/>
      </c>
      <c r="U25" s="251" t="str">
        <f t="shared" si="4"/>
        <v/>
      </c>
      <c r="V25" s="252" t="str">
        <f t="shared" si="5"/>
        <v/>
      </c>
    </row>
    <row r="26" spans="1:22" ht="30" customHeight="1" x14ac:dyDescent="0.25">
      <c r="A26" s="235"/>
      <c r="B26" s="100"/>
      <c r="C26" s="100"/>
      <c r="D26" s="102"/>
      <c r="E26" s="100"/>
      <c r="F26" s="102"/>
      <c r="G26" s="102"/>
      <c r="H26" s="96" t="str">
        <f>IFERROR(VLOOKUP(E26,'Szakmajegyzék 2021.I.1-'!$B$7:$C$181,2,0),"")</f>
        <v/>
      </c>
      <c r="I26" s="130" t="str">
        <f>IFERROR(VLOOKUP(E26,'Szakmajegyzék 2021.I.1-'!$B$7:$K$181,10,0),"")</f>
        <v/>
      </c>
      <c r="J26" s="136" t="str">
        <f>IFERROR(VLOOKUP(E26,'Szakmajegyzék 2021.I.1-'!$L$7:$R$181,6,0),"")</f>
        <v/>
      </c>
      <c r="K26" s="195" t="str">
        <f>IFERROR(VLOOKUP(E26,'Szakmajegyzék 2021.I.1-'!$L$7:$R$181,7,0)*('Támogatás szorzat tényezői'!$C$15/'Támogatás szorzat tényezői'!$C$14),"")</f>
        <v/>
      </c>
      <c r="L26" s="98" t="str">
        <f t="shared" si="1"/>
        <v/>
      </c>
      <c r="M26" s="120" t="str">
        <f>IFERROR((F26*K26*'Támogatás szorzat tényezői'!$C$7)+(G26*K26*'Támogatás szorzat tényezői'!$C$7*'Támogatás szorzat tényezői'!$C$8),"")</f>
        <v/>
      </c>
      <c r="N26" s="253"/>
      <c r="O26" s="254"/>
      <c r="P26" s="254"/>
      <c r="Q26" s="248" t="str">
        <f>IF(N26="","",K26*'Támogatás szorzat tényezői'!$C$7*N26)</f>
        <v/>
      </c>
      <c r="R26" s="248" t="str">
        <f>IF(P26="","",J26*(1-'Támogatás szorzat tényezői'!$C$7)*P26)</f>
        <v/>
      </c>
      <c r="S26" s="249" t="str">
        <f t="shared" si="2"/>
        <v/>
      </c>
      <c r="T26" s="250" t="str">
        <f t="shared" si="3"/>
        <v/>
      </c>
      <c r="U26" s="251" t="str">
        <f t="shared" si="4"/>
        <v/>
      </c>
      <c r="V26" s="252" t="str">
        <f t="shared" si="5"/>
        <v/>
      </c>
    </row>
    <row r="27" spans="1:22" ht="30" customHeight="1" x14ac:dyDescent="0.25">
      <c r="A27" s="235"/>
      <c r="B27" s="100"/>
      <c r="C27" s="100"/>
      <c r="D27" s="102"/>
      <c r="E27" s="100"/>
      <c r="F27" s="102"/>
      <c r="G27" s="102"/>
      <c r="H27" s="96" t="str">
        <f>IFERROR(VLOOKUP(E27,'Szakmajegyzék 2021.I.1-'!$B$7:$C$181,2,0),"")</f>
        <v/>
      </c>
      <c r="I27" s="130" t="str">
        <f>IFERROR(VLOOKUP(E27,'Szakmajegyzék 2021.I.1-'!$B$7:$K$181,10,0),"")</f>
        <v/>
      </c>
      <c r="J27" s="136" t="str">
        <f>IFERROR(VLOOKUP(E27,'Szakmajegyzék 2021.I.1-'!$L$7:$R$181,6,0),"")</f>
        <v/>
      </c>
      <c r="K27" s="195" t="str">
        <f>IFERROR(VLOOKUP(E27,'Szakmajegyzék 2021.I.1-'!$L$7:$R$181,7,0)*('Támogatás szorzat tényezői'!$C$15/'Támogatás szorzat tényezői'!$C$14),"")</f>
        <v/>
      </c>
      <c r="L27" s="98" t="str">
        <f t="shared" si="1"/>
        <v/>
      </c>
      <c r="M27" s="120" t="str">
        <f>IFERROR((F27*K27*'Támogatás szorzat tényezői'!$C$7)+(G27*K27*'Támogatás szorzat tényezői'!$C$7*'Támogatás szorzat tényezői'!$C$8),"")</f>
        <v/>
      </c>
      <c r="N27" s="253"/>
      <c r="O27" s="254"/>
      <c r="P27" s="254"/>
      <c r="Q27" s="248" t="str">
        <f>IF(N27="","",K27*'Támogatás szorzat tényezői'!$C$7*N27)</f>
        <v/>
      </c>
      <c r="R27" s="248" t="str">
        <f>IF(P27="","",J27*(1-'Támogatás szorzat tényezői'!$C$7)*P27)</f>
        <v/>
      </c>
      <c r="S27" s="249" t="str">
        <f t="shared" si="2"/>
        <v/>
      </c>
      <c r="T27" s="250" t="str">
        <f t="shared" si="3"/>
        <v/>
      </c>
      <c r="U27" s="251" t="str">
        <f t="shared" si="4"/>
        <v/>
      </c>
      <c r="V27" s="252" t="str">
        <f t="shared" si="5"/>
        <v/>
      </c>
    </row>
    <row r="28" spans="1:22" ht="30" customHeight="1" x14ac:dyDescent="0.25">
      <c r="A28" s="235"/>
      <c r="B28" s="100"/>
      <c r="C28" s="100"/>
      <c r="D28" s="102"/>
      <c r="E28" s="100"/>
      <c r="F28" s="102"/>
      <c r="G28" s="102"/>
      <c r="H28" s="96" t="str">
        <f>IFERROR(VLOOKUP(E28,'Szakmajegyzék 2021.I.1-'!$B$7:$C$181,2,0),"")</f>
        <v/>
      </c>
      <c r="I28" s="130" t="str">
        <f>IFERROR(VLOOKUP(E28,'Szakmajegyzék 2021.I.1-'!$B$7:$K$181,10,0),"")</f>
        <v/>
      </c>
      <c r="J28" s="136" t="str">
        <f>IFERROR(VLOOKUP(E28,'Szakmajegyzék 2021.I.1-'!$L$7:$R$181,6,0),"")</f>
        <v/>
      </c>
      <c r="K28" s="195" t="str">
        <f>IFERROR(VLOOKUP(E28,'Szakmajegyzék 2021.I.1-'!$L$7:$R$181,7,0)*('Támogatás szorzat tényezői'!$C$15/'Támogatás szorzat tényezői'!$C$14),"")</f>
        <v/>
      </c>
      <c r="L28" s="98" t="str">
        <f t="shared" si="1"/>
        <v/>
      </c>
      <c r="M28" s="120" t="str">
        <f>IFERROR((F28*K28*'Támogatás szorzat tényezői'!$C$7)+(G28*K28*'Támogatás szorzat tényezői'!$C$7*'Támogatás szorzat tényezői'!$C$8),"")</f>
        <v/>
      </c>
      <c r="N28" s="253"/>
      <c r="O28" s="254"/>
      <c r="P28" s="254"/>
      <c r="Q28" s="248" t="str">
        <f>IF(N28="","",K28*'Támogatás szorzat tényezői'!$C$7*N28)</f>
        <v/>
      </c>
      <c r="R28" s="248" t="str">
        <f>IF(P28="","",J28*(1-'Támogatás szorzat tényezői'!$C$7)*P28)</f>
        <v/>
      </c>
      <c r="S28" s="249" t="str">
        <f t="shared" si="2"/>
        <v/>
      </c>
      <c r="T28" s="250" t="str">
        <f t="shared" si="3"/>
        <v/>
      </c>
      <c r="U28" s="251" t="str">
        <f t="shared" si="4"/>
        <v/>
      </c>
      <c r="V28" s="252" t="str">
        <f t="shared" si="5"/>
        <v/>
      </c>
    </row>
    <row r="29" spans="1:22" ht="30" customHeight="1" x14ac:dyDescent="0.25">
      <c r="A29" s="235"/>
      <c r="B29" s="100"/>
      <c r="C29" s="100"/>
      <c r="D29" s="102"/>
      <c r="E29" s="100"/>
      <c r="F29" s="102"/>
      <c r="G29" s="102"/>
      <c r="H29" s="96" t="str">
        <f>IFERROR(VLOOKUP(E29,'Szakmajegyzék 2021.I.1-'!$B$7:$C$181,2,0),"")</f>
        <v/>
      </c>
      <c r="I29" s="130" t="str">
        <f>IFERROR(VLOOKUP(E29,'Szakmajegyzék 2021.I.1-'!$B$7:$K$181,10,0),"")</f>
        <v/>
      </c>
      <c r="J29" s="136" t="str">
        <f>IFERROR(VLOOKUP(E29,'Szakmajegyzék 2021.I.1-'!$L$7:$R$181,6,0),"")</f>
        <v/>
      </c>
      <c r="K29" s="195" t="str">
        <f>IFERROR(VLOOKUP(E29,'Szakmajegyzék 2021.I.1-'!$L$7:$R$181,7,0)*('Támogatás szorzat tényezői'!$C$15/'Támogatás szorzat tényezői'!$C$14),"")</f>
        <v/>
      </c>
      <c r="L29" s="98" t="str">
        <f t="shared" si="1"/>
        <v/>
      </c>
      <c r="M29" s="120" t="str">
        <f>IFERROR((F29*K29*'Támogatás szorzat tényezői'!$C$7)+(G29*K29*'Támogatás szorzat tényezői'!$C$7*'Támogatás szorzat tényezői'!$C$8),"")</f>
        <v/>
      </c>
      <c r="N29" s="253"/>
      <c r="O29" s="254"/>
      <c r="P29" s="254"/>
      <c r="Q29" s="248" t="str">
        <f>IF(N29="","",K29*'Támogatás szorzat tényezői'!$C$7*N29)</f>
        <v/>
      </c>
      <c r="R29" s="248" t="str">
        <f>IF(P29="","",J29*(1-'Támogatás szorzat tényezői'!$C$7)*P29)</f>
        <v/>
      </c>
      <c r="S29" s="249" t="str">
        <f t="shared" si="2"/>
        <v/>
      </c>
      <c r="T29" s="250" t="str">
        <f t="shared" si="3"/>
        <v/>
      </c>
      <c r="U29" s="251" t="str">
        <f t="shared" si="4"/>
        <v/>
      </c>
      <c r="V29" s="252" t="str">
        <f t="shared" si="5"/>
        <v/>
      </c>
    </row>
    <row r="30" spans="1:22" ht="30" customHeight="1" x14ac:dyDescent="0.25">
      <c r="A30" s="235"/>
      <c r="B30" s="100"/>
      <c r="C30" s="100"/>
      <c r="D30" s="102"/>
      <c r="E30" s="100"/>
      <c r="F30" s="102"/>
      <c r="G30" s="102"/>
      <c r="H30" s="96" t="str">
        <f>IFERROR(VLOOKUP(E30,'Szakmajegyzék 2021.I.1-'!$B$7:$C$181,2,0),"")</f>
        <v/>
      </c>
      <c r="I30" s="130" t="str">
        <f>IFERROR(VLOOKUP(E30,'Szakmajegyzék 2021.I.1-'!$B$7:$K$181,10,0),"")</f>
        <v/>
      </c>
      <c r="J30" s="136" t="str">
        <f>IFERROR(VLOOKUP(E30,'Szakmajegyzék 2021.I.1-'!$L$7:$R$181,6,0),"")</f>
        <v/>
      </c>
      <c r="K30" s="195" t="str">
        <f>IFERROR(VLOOKUP(E30,'Szakmajegyzék 2021.I.1-'!$L$7:$R$181,7,0)*('Támogatás szorzat tényezői'!$C$15/'Támogatás szorzat tényezői'!$C$14),"")</f>
        <v/>
      </c>
      <c r="L30" s="98" t="str">
        <f t="shared" si="1"/>
        <v/>
      </c>
      <c r="M30" s="120" t="str">
        <f>IFERROR((F30*K30*'Támogatás szorzat tényezői'!$C$7)+(G30*K30*'Támogatás szorzat tényezői'!$C$7*'Támogatás szorzat tényezői'!$C$8),"")</f>
        <v/>
      </c>
      <c r="N30" s="253"/>
      <c r="O30" s="254"/>
      <c r="P30" s="254"/>
      <c r="Q30" s="248" t="str">
        <f>IF(N30="","",K30*'Támogatás szorzat tényezői'!$C$7*N30)</f>
        <v/>
      </c>
      <c r="R30" s="248" t="str">
        <f>IF(P30="","",J30*(1-'Támogatás szorzat tényezői'!$C$7)*P30)</f>
        <v/>
      </c>
      <c r="S30" s="249" t="str">
        <f t="shared" si="2"/>
        <v/>
      </c>
      <c r="T30" s="250" t="str">
        <f t="shared" si="3"/>
        <v/>
      </c>
      <c r="U30" s="251" t="str">
        <f t="shared" si="4"/>
        <v/>
      </c>
      <c r="V30" s="252" t="str">
        <f t="shared" si="5"/>
        <v/>
      </c>
    </row>
    <row r="31" spans="1:22" ht="30" customHeight="1" x14ac:dyDescent="0.25">
      <c r="A31" s="235"/>
      <c r="B31" s="100"/>
      <c r="C31" s="100"/>
      <c r="D31" s="102"/>
      <c r="E31" s="100"/>
      <c r="F31" s="102"/>
      <c r="G31" s="102"/>
      <c r="H31" s="96" t="str">
        <f>IFERROR(VLOOKUP(E31,'Szakmajegyzék 2021.I.1-'!$B$7:$C$181,2,0),"")</f>
        <v/>
      </c>
      <c r="I31" s="130" t="str">
        <f>IFERROR(VLOOKUP(E31,'Szakmajegyzék 2021.I.1-'!$B$7:$K$181,10,0),"")</f>
        <v/>
      </c>
      <c r="J31" s="136" t="str">
        <f>IFERROR(VLOOKUP(E31,'Szakmajegyzék 2021.I.1-'!$L$7:$R$181,6,0),"")</f>
        <v/>
      </c>
      <c r="K31" s="195" t="str">
        <f>IFERROR(VLOOKUP(E31,'Szakmajegyzék 2021.I.1-'!$L$7:$R$181,7,0)*('Támogatás szorzat tényezői'!$C$15/'Támogatás szorzat tényezői'!$C$14),"")</f>
        <v/>
      </c>
      <c r="L31" s="98" t="str">
        <f t="shared" si="1"/>
        <v/>
      </c>
      <c r="M31" s="120" t="str">
        <f>IFERROR((F31*K31*'Támogatás szorzat tényezői'!$C$7)+(G31*K31*'Támogatás szorzat tényezői'!$C$7*'Támogatás szorzat tényezői'!$C$8),"")</f>
        <v/>
      </c>
      <c r="N31" s="253"/>
      <c r="O31" s="254"/>
      <c r="P31" s="254"/>
      <c r="Q31" s="248" t="str">
        <f>IF(N31="","",K31*'Támogatás szorzat tényezői'!$C$7*N31)</f>
        <v/>
      </c>
      <c r="R31" s="248" t="str">
        <f>IF(P31="","",J31*(1-'Támogatás szorzat tényezői'!$C$7)*P31)</f>
        <v/>
      </c>
      <c r="S31" s="249" t="str">
        <f t="shared" si="2"/>
        <v/>
      </c>
      <c r="T31" s="250" t="str">
        <f t="shared" si="3"/>
        <v/>
      </c>
      <c r="U31" s="251" t="str">
        <f t="shared" si="4"/>
        <v/>
      </c>
      <c r="V31" s="252" t="str">
        <f t="shared" si="5"/>
        <v/>
      </c>
    </row>
    <row r="32" spans="1:22" ht="30" customHeight="1" x14ac:dyDescent="0.25">
      <c r="A32" s="235"/>
      <c r="B32" s="100"/>
      <c r="C32" s="100"/>
      <c r="D32" s="102"/>
      <c r="E32" s="100"/>
      <c r="F32" s="102"/>
      <c r="G32" s="102"/>
      <c r="H32" s="96" t="str">
        <f>IFERROR(VLOOKUP(E32,'Szakmajegyzék 2021.I.1-'!$B$7:$C$181,2,0),"")</f>
        <v/>
      </c>
      <c r="I32" s="130" t="str">
        <f>IFERROR(VLOOKUP(E32,'Szakmajegyzék 2021.I.1-'!$B$7:$K$181,10,0),"")</f>
        <v/>
      </c>
      <c r="J32" s="136" t="str">
        <f>IFERROR(VLOOKUP(E32,'Szakmajegyzék 2021.I.1-'!$L$7:$R$181,6,0),"")</f>
        <v/>
      </c>
      <c r="K32" s="195" t="str">
        <f>IFERROR(VLOOKUP(E32,'Szakmajegyzék 2021.I.1-'!$L$7:$R$181,7,0)*('Támogatás szorzat tényezői'!$C$15/'Támogatás szorzat tényezői'!$C$14),"")</f>
        <v/>
      </c>
      <c r="L32" s="98" t="str">
        <f t="shared" si="1"/>
        <v/>
      </c>
      <c r="M32" s="120" t="str">
        <f>IFERROR((F32*K32*'Támogatás szorzat tényezői'!$C$7)+(G32*K32*'Támogatás szorzat tényezői'!$C$7*'Támogatás szorzat tényezői'!$C$8),"")</f>
        <v/>
      </c>
      <c r="N32" s="253"/>
      <c r="O32" s="254"/>
      <c r="P32" s="254"/>
      <c r="Q32" s="248" t="str">
        <f>IF(N32="","",K32*'Támogatás szorzat tényezői'!$C$7*N32)</f>
        <v/>
      </c>
      <c r="R32" s="248" t="str">
        <f>IF(P32="","",J32*(1-'Támogatás szorzat tényezői'!$C$7)*P32)</f>
        <v/>
      </c>
      <c r="S32" s="249" t="str">
        <f t="shared" si="2"/>
        <v/>
      </c>
      <c r="T32" s="250" t="str">
        <f t="shared" si="3"/>
        <v/>
      </c>
      <c r="U32" s="251" t="str">
        <f t="shared" si="4"/>
        <v/>
      </c>
      <c r="V32" s="252" t="str">
        <f t="shared" si="5"/>
        <v/>
      </c>
    </row>
    <row r="33" spans="1:22" ht="30" customHeight="1" x14ac:dyDescent="0.25">
      <c r="A33" s="235"/>
      <c r="B33" s="100"/>
      <c r="C33" s="100"/>
      <c r="D33" s="102"/>
      <c r="E33" s="100"/>
      <c r="F33" s="102"/>
      <c r="G33" s="102"/>
      <c r="H33" s="96" t="str">
        <f>IFERROR(VLOOKUP(E33,'Szakmajegyzék 2021.I.1-'!$B$7:$C$181,2,0),"")</f>
        <v/>
      </c>
      <c r="I33" s="130" t="str">
        <f>IFERROR(VLOOKUP(E33,'Szakmajegyzék 2021.I.1-'!$B$7:$K$181,10,0),"")</f>
        <v/>
      </c>
      <c r="J33" s="136" t="str">
        <f>IFERROR(VLOOKUP(E33,'Szakmajegyzék 2021.I.1-'!$L$7:$R$181,6,0),"")</f>
        <v/>
      </c>
      <c r="K33" s="195" t="str">
        <f>IFERROR(VLOOKUP(E33,'Szakmajegyzék 2021.I.1-'!$L$7:$R$181,7,0)*('Támogatás szorzat tényezői'!$C$15/'Támogatás szorzat tényezői'!$C$14),"")</f>
        <v/>
      </c>
      <c r="L33" s="98" t="str">
        <f t="shared" si="1"/>
        <v/>
      </c>
      <c r="M33" s="120" t="str">
        <f>IFERROR((F33*K33*'Támogatás szorzat tényezői'!$C$7)+(G33*K33*'Támogatás szorzat tényezői'!$C$7*'Támogatás szorzat tényezői'!$C$8),"")</f>
        <v/>
      </c>
      <c r="N33" s="253"/>
      <c r="O33" s="254"/>
      <c r="P33" s="254"/>
      <c r="Q33" s="248" t="str">
        <f>IF(N33="","",K33*'Támogatás szorzat tényezői'!$C$7*N33)</f>
        <v/>
      </c>
      <c r="R33" s="248" t="str">
        <f>IF(P33="","",J33*(1-'Támogatás szorzat tényezői'!$C$7)*P33)</f>
        <v/>
      </c>
      <c r="S33" s="249" t="str">
        <f t="shared" si="2"/>
        <v/>
      </c>
      <c r="T33" s="250" t="str">
        <f t="shared" si="3"/>
        <v/>
      </c>
      <c r="U33" s="251" t="str">
        <f t="shared" si="4"/>
        <v/>
      </c>
      <c r="V33" s="252" t="str">
        <f t="shared" si="5"/>
        <v/>
      </c>
    </row>
    <row r="34" spans="1:22" ht="30" customHeight="1" x14ac:dyDescent="0.25">
      <c r="A34" s="235"/>
      <c r="B34" s="100"/>
      <c r="C34" s="100"/>
      <c r="D34" s="102"/>
      <c r="E34" s="100"/>
      <c r="F34" s="102"/>
      <c r="G34" s="102"/>
      <c r="H34" s="96" t="str">
        <f>IFERROR(VLOOKUP(E34,'Szakmajegyzék 2021.I.1-'!$B$7:$C$181,2,0),"")</f>
        <v/>
      </c>
      <c r="I34" s="130" t="str">
        <f>IFERROR(VLOOKUP(E34,'Szakmajegyzék 2021.I.1-'!$B$7:$K$181,10,0),"")</f>
        <v/>
      </c>
      <c r="J34" s="136" t="str">
        <f>IFERROR(VLOOKUP(E34,'Szakmajegyzék 2021.I.1-'!$L$7:$R$181,6,0),"")</f>
        <v/>
      </c>
      <c r="K34" s="195" t="str">
        <f>IFERROR(VLOOKUP(E34,'Szakmajegyzék 2021.I.1-'!$L$7:$R$181,7,0)*('Támogatás szorzat tényezői'!$C$15/'Támogatás szorzat tényezői'!$C$14),"")</f>
        <v/>
      </c>
      <c r="L34" s="98" t="str">
        <f t="shared" si="1"/>
        <v/>
      </c>
      <c r="M34" s="120" t="str">
        <f>IFERROR((F34*K34*'Támogatás szorzat tényezői'!$C$7)+(G34*K34*'Támogatás szorzat tényezői'!$C$7*'Támogatás szorzat tényezői'!$C$8),"")</f>
        <v/>
      </c>
      <c r="N34" s="253"/>
      <c r="O34" s="254"/>
      <c r="P34" s="254"/>
      <c r="Q34" s="248" t="str">
        <f>IF(N34="","",K34*'Támogatás szorzat tényezői'!$C$7*N34)</f>
        <v/>
      </c>
      <c r="R34" s="248" t="str">
        <f>IF(P34="","",J34*(1-'Támogatás szorzat tényezői'!$C$7)*P34)</f>
        <v/>
      </c>
      <c r="S34" s="249" t="str">
        <f t="shared" si="2"/>
        <v/>
      </c>
      <c r="T34" s="250" t="str">
        <f t="shared" si="3"/>
        <v/>
      </c>
      <c r="U34" s="251" t="str">
        <f t="shared" si="4"/>
        <v/>
      </c>
      <c r="V34" s="252" t="str">
        <f t="shared" si="5"/>
        <v/>
      </c>
    </row>
    <row r="35" spans="1:22" ht="30" customHeight="1" x14ac:dyDescent="0.25">
      <c r="A35" s="235"/>
      <c r="B35" s="100"/>
      <c r="C35" s="100"/>
      <c r="D35" s="102"/>
      <c r="E35" s="100"/>
      <c r="F35" s="102"/>
      <c r="G35" s="102"/>
      <c r="H35" s="96" t="str">
        <f>IFERROR(VLOOKUP(E35,'Szakmajegyzék 2021.I.1-'!$B$7:$C$181,2,0),"")</f>
        <v/>
      </c>
      <c r="I35" s="130" t="str">
        <f>IFERROR(VLOOKUP(E35,'Szakmajegyzék 2021.I.1-'!$B$7:$K$181,10,0),"")</f>
        <v/>
      </c>
      <c r="J35" s="136" t="str">
        <f>IFERROR(VLOOKUP(E35,'Szakmajegyzék 2021.I.1-'!$L$7:$R$181,6,0),"")</f>
        <v/>
      </c>
      <c r="K35" s="195" t="str">
        <f>IFERROR(VLOOKUP(E35,'Szakmajegyzék 2021.I.1-'!$L$7:$R$181,7,0)*('Támogatás szorzat tényezői'!$C$15/'Támogatás szorzat tényezői'!$C$14),"")</f>
        <v/>
      </c>
      <c r="L35" s="98" t="str">
        <f t="shared" si="1"/>
        <v/>
      </c>
      <c r="M35" s="120" t="str">
        <f>IFERROR((F35*K35*'Támogatás szorzat tényezői'!$C$7)+(G35*K35*'Támogatás szorzat tényezői'!$C$7*'Támogatás szorzat tényezői'!$C$8),"")</f>
        <v/>
      </c>
      <c r="N35" s="253"/>
      <c r="O35" s="254"/>
      <c r="P35" s="254"/>
      <c r="Q35" s="248" t="str">
        <f>IF(N35="","",K35*'Támogatás szorzat tényezői'!$C$7*N35)</f>
        <v/>
      </c>
      <c r="R35" s="248" t="str">
        <f>IF(P35="","",J35*(1-'Támogatás szorzat tényezői'!$C$7)*P35)</f>
        <v/>
      </c>
      <c r="S35" s="249" t="str">
        <f t="shared" si="2"/>
        <v/>
      </c>
      <c r="T35" s="250" t="str">
        <f t="shared" si="3"/>
        <v/>
      </c>
      <c r="U35" s="251" t="str">
        <f t="shared" si="4"/>
        <v/>
      </c>
      <c r="V35" s="252" t="str">
        <f t="shared" si="5"/>
        <v/>
      </c>
    </row>
    <row r="36" spans="1:22" ht="30" customHeight="1" x14ac:dyDescent="0.25">
      <c r="A36" s="235"/>
      <c r="B36" s="100"/>
      <c r="C36" s="100"/>
      <c r="D36" s="102"/>
      <c r="E36" s="100"/>
      <c r="F36" s="102"/>
      <c r="G36" s="102"/>
      <c r="H36" s="96" t="str">
        <f>IFERROR(VLOOKUP(E36,'Szakmajegyzék 2021.I.1-'!$B$7:$C$181,2,0),"")</f>
        <v/>
      </c>
      <c r="I36" s="130" t="str">
        <f>IFERROR(VLOOKUP(E36,'Szakmajegyzék 2021.I.1-'!$B$7:$K$181,10,0),"")</f>
        <v/>
      </c>
      <c r="J36" s="136" t="str">
        <f>IFERROR(VLOOKUP(E36,'Szakmajegyzék 2021.I.1-'!$L$7:$R$181,6,0),"")</f>
        <v/>
      </c>
      <c r="K36" s="195" t="str">
        <f>IFERROR(VLOOKUP(E36,'Szakmajegyzék 2021.I.1-'!$L$7:$R$181,7,0)*('Támogatás szorzat tényezői'!$C$15/'Támogatás szorzat tényezői'!$C$14),"")</f>
        <v/>
      </c>
      <c r="L36" s="98" t="str">
        <f t="shared" si="1"/>
        <v/>
      </c>
      <c r="M36" s="120" t="str">
        <f>IFERROR((F36*K36*'Támogatás szorzat tényezői'!$C$7)+(G36*K36*'Támogatás szorzat tényezői'!$C$7*'Támogatás szorzat tényezői'!$C$8),"")</f>
        <v/>
      </c>
      <c r="N36" s="253"/>
      <c r="O36" s="254"/>
      <c r="P36" s="254"/>
      <c r="Q36" s="248" t="str">
        <f>IF(N36="","",K36*'Támogatás szorzat tényezői'!$C$7*N36)</f>
        <v/>
      </c>
      <c r="R36" s="248" t="str">
        <f>IF(P36="","",J36*(1-'Támogatás szorzat tényezői'!$C$7)*P36)</f>
        <v/>
      </c>
      <c r="S36" s="249" t="str">
        <f t="shared" si="2"/>
        <v/>
      </c>
      <c r="T36" s="250" t="str">
        <f t="shared" si="3"/>
        <v/>
      </c>
      <c r="U36" s="251" t="str">
        <f t="shared" si="4"/>
        <v/>
      </c>
      <c r="V36" s="252" t="str">
        <f t="shared" si="5"/>
        <v/>
      </c>
    </row>
    <row r="37" spans="1:22" ht="30" customHeight="1" x14ac:dyDescent="0.25">
      <c r="A37" s="235"/>
      <c r="B37" s="100"/>
      <c r="C37" s="100"/>
      <c r="D37" s="102"/>
      <c r="E37" s="100"/>
      <c r="F37" s="102"/>
      <c r="G37" s="102"/>
      <c r="H37" s="96" t="str">
        <f>IFERROR(VLOOKUP(E37,'Szakmajegyzék 2021.I.1-'!$B$7:$C$181,2,0),"")</f>
        <v/>
      </c>
      <c r="I37" s="130" t="str">
        <f>IFERROR(VLOOKUP(E37,'Szakmajegyzék 2021.I.1-'!$B$7:$K$181,10,0),"")</f>
        <v/>
      </c>
      <c r="J37" s="136" t="str">
        <f>IFERROR(VLOOKUP(E37,'Szakmajegyzék 2021.I.1-'!$L$7:$R$181,6,0),"")</f>
        <v/>
      </c>
      <c r="K37" s="195" t="str">
        <f>IFERROR(VLOOKUP(E37,'Szakmajegyzék 2021.I.1-'!$L$7:$R$181,7,0)*('Támogatás szorzat tényezői'!$C$15/'Támogatás szorzat tényezői'!$C$14),"")</f>
        <v/>
      </c>
      <c r="L37" s="98" t="str">
        <f t="shared" si="1"/>
        <v/>
      </c>
      <c r="M37" s="120" t="str">
        <f>IFERROR((F37*K37*'Támogatás szorzat tényezői'!$C$7)+(G37*K37*'Támogatás szorzat tényezői'!$C$7*'Támogatás szorzat tényezői'!$C$8),"")</f>
        <v/>
      </c>
      <c r="N37" s="253"/>
      <c r="O37" s="254"/>
      <c r="P37" s="254"/>
      <c r="Q37" s="248" t="str">
        <f>IF(N37="","",K37*'Támogatás szorzat tényezői'!$C$7*N37)</f>
        <v/>
      </c>
      <c r="R37" s="248" t="str">
        <f>IF(P37="","",J37*(1-'Támogatás szorzat tényezői'!$C$7)*P37)</f>
        <v/>
      </c>
      <c r="S37" s="249" t="str">
        <f t="shared" si="2"/>
        <v/>
      </c>
      <c r="T37" s="250" t="str">
        <f t="shared" si="3"/>
        <v/>
      </c>
      <c r="U37" s="251" t="str">
        <f t="shared" si="4"/>
        <v/>
      </c>
      <c r="V37" s="252" t="str">
        <f t="shared" si="5"/>
        <v/>
      </c>
    </row>
    <row r="38" spans="1:22" ht="30" customHeight="1" x14ac:dyDescent="0.25">
      <c r="A38" s="235"/>
      <c r="B38" s="100"/>
      <c r="C38" s="100"/>
      <c r="D38" s="102"/>
      <c r="E38" s="100"/>
      <c r="F38" s="102"/>
      <c r="G38" s="102"/>
      <c r="H38" s="96" t="str">
        <f>IFERROR(VLOOKUP(E38,'Szakmajegyzék 2021.I.1-'!$B$7:$C$181,2,0),"")</f>
        <v/>
      </c>
      <c r="I38" s="130" t="str">
        <f>IFERROR(VLOOKUP(E38,'Szakmajegyzék 2021.I.1-'!$B$7:$K$181,10,0),"")</f>
        <v/>
      </c>
      <c r="J38" s="136" t="str">
        <f>IFERROR(VLOOKUP(E38,'Szakmajegyzék 2021.I.1-'!$L$7:$R$181,6,0),"")</f>
        <v/>
      </c>
      <c r="K38" s="195" t="str">
        <f>IFERROR(VLOOKUP(E38,'Szakmajegyzék 2021.I.1-'!$L$7:$R$181,7,0)*('Támogatás szorzat tényezői'!$C$15/'Támogatás szorzat tényezői'!$C$14),"")</f>
        <v/>
      </c>
      <c r="L38" s="98" t="str">
        <f t="shared" si="1"/>
        <v/>
      </c>
      <c r="M38" s="120" t="str">
        <f>IFERROR((F38*K38*'Támogatás szorzat tényezői'!$C$7)+(G38*K38*'Támogatás szorzat tényezői'!$C$7*'Támogatás szorzat tényezői'!$C$8),"")</f>
        <v/>
      </c>
      <c r="N38" s="253"/>
      <c r="O38" s="254"/>
      <c r="P38" s="254"/>
      <c r="Q38" s="248" t="str">
        <f>IF(N38="","",K38*'Támogatás szorzat tényezői'!$C$7*N38)</f>
        <v/>
      </c>
      <c r="R38" s="248" t="str">
        <f>IF(P38="","",J38*(1-'Támogatás szorzat tényezői'!$C$7)*P38)</f>
        <v/>
      </c>
      <c r="S38" s="249" t="str">
        <f t="shared" si="2"/>
        <v/>
      </c>
      <c r="T38" s="250" t="str">
        <f t="shared" si="3"/>
        <v/>
      </c>
      <c r="U38" s="251" t="str">
        <f t="shared" si="4"/>
        <v/>
      </c>
      <c r="V38" s="252" t="str">
        <f t="shared" si="5"/>
        <v/>
      </c>
    </row>
    <row r="39" spans="1:22" ht="30" customHeight="1" x14ac:dyDescent="0.25">
      <c r="A39" s="235"/>
      <c r="B39" s="100"/>
      <c r="C39" s="100"/>
      <c r="D39" s="102"/>
      <c r="E39" s="100"/>
      <c r="F39" s="102"/>
      <c r="G39" s="102"/>
      <c r="H39" s="96" t="str">
        <f>IFERROR(VLOOKUP(E39,'Szakmajegyzék 2021.I.1-'!$B$7:$C$181,2,0),"")</f>
        <v/>
      </c>
      <c r="I39" s="130" t="str">
        <f>IFERROR(VLOOKUP(E39,'Szakmajegyzék 2021.I.1-'!$B$7:$K$181,10,0),"")</f>
        <v/>
      </c>
      <c r="J39" s="136" t="str">
        <f>IFERROR(VLOOKUP(E39,'Szakmajegyzék 2021.I.1-'!$L$7:$R$181,6,0),"")</f>
        <v/>
      </c>
      <c r="K39" s="195" t="str">
        <f>IFERROR(VLOOKUP(E39,'Szakmajegyzék 2021.I.1-'!$L$7:$R$181,7,0)*('Támogatás szorzat tényezői'!$C$15/'Támogatás szorzat tényezői'!$C$14),"")</f>
        <v/>
      </c>
      <c r="L39" s="98" t="str">
        <f t="shared" si="1"/>
        <v/>
      </c>
      <c r="M39" s="120" t="str">
        <f>IFERROR((F39*K39*'Támogatás szorzat tényezői'!$C$7)+(G39*K39*'Támogatás szorzat tényezői'!$C$7*'Támogatás szorzat tényezői'!$C$8),"")</f>
        <v/>
      </c>
      <c r="N39" s="253"/>
      <c r="O39" s="254"/>
      <c r="P39" s="254"/>
      <c r="Q39" s="248" t="str">
        <f>IF(N39="","",K39*'Támogatás szorzat tényezői'!$C$7*N39)</f>
        <v/>
      </c>
      <c r="R39" s="248" t="str">
        <f>IF(P39="","",J39*(1-'Támogatás szorzat tényezői'!$C$7)*P39)</f>
        <v/>
      </c>
      <c r="S39" s="249" t="str">
        <f t="shared" si="2"/>
        <v/>
      </c>
      <c r="T39" s="250" t="str">
        <f t="shared" si="3"/>
        <v/>
      </c>
      <c r="U39" s="251" t="str">
        <f t="shared" si="4"/>
        <v/>
      </c>
      <c r="V39" s="252" t="str">
        <f t="shared" si="5"/>
        <v/>
      </c>
    </row>
    <row r="40" spans="1:22" ht="30" customHeight="1" x14ac:dyDescent="0.25">
      <c r="A40" s="235"/>
      <c r="B40" s="100"/>
      <c r="C40" s="100"/>
      <c r="D40" s="102"/>
      <c r="E40" s="100"/>
      <c r="F40" s="102"/>
      <c r="G40" s="102"/>
      <c r="H40" s="96" t="str">
        <f>IFERROR(VLOOKUP(E40,'Szakmajegyzék 2021.I.1-'!$B$7:$C$181,2,0),"")</f>
        <v/>
      </c>
      <c r="I40" s="130" t="str">
        <f>IFERROR(VLOOKUP(E40,'Szakmajegyzék 2021.I.1-'!$B$7:$K$181,10,0),"")</f>
        <v/>
      </c>
      <c r="J40" s="136" t="str">
        <f>IFERROR(VLOOKUP(E40,'Szakmajegyzék 2021.I.1-'!$L$7:$R$181,6,0),"")</f>
        <v/>
      </c>
      <c r="K40" s="195" t="str">
        <f>IFERROR(VLOOKUP(E40,'Szakmajegyzék 2021.I.1-'!$L$7:$R$181,7,0)*('Támogatás szorzat tényezői'!$C$15/'Támogatás szorzat tényezői'!$C$14),"")</f>
        <v/>
      </c>
      <c r="L40" s="98" t="str">
        <f t="shared" si="1"/>
        <v/>
      </c>
      <c r="M40" s="120" t="str">
        <f>IFERROR((F40*K40*'Támogatás szorzat tényezői'!$C$7)+(G40*K40*'Támogatás szorzat tényezői'!$C$7*'Támogatás szorzat tényezői'!$C$8),"")</f>
        <v/>
      </c>
      <c r="N40" s="253"/>
      <c r="O40" s="254"/>
      <c r="P40" s="254"/>
      <c r="Q40" s="248" t="str">
        <f>IF(N40="","",K40*'Támogatás szorzat tényezői'!$C$7*N40)</f>
        <v/>
      </c>
      <c r="R40" s="248" t="str">
        <f>IF(P40="","",J40*(1-'Támogatás szorzat tényezői'!$C$7)*P40)</f>
        <v/>
      </c>
      <c r="S40" s="249" t="str">
        <f t="shared" si="2"/>
        <v/>
      </c>
      <c r="T40" s="250" t="str">
        <f t="shared" si="3"/>
        <v/>
      </c>
      <c r="U40" s="251" t="str">
        <f t="shared" si="4"/>
        <v/>
      </c>
      <c r="V40" s="252" t="str">
        <f t="shared" si="5"/>
        <v/>
      </c>
    </row>
    <row r="41" spans="1:22" ht="30" customHeight="1" x14ac:dyDescent="0.25">
      <c r="A41" s="235"/>
      <c r="B41" s="100"/>
      <c r="C41" s="100"/>
      <c r="D41" s="102"/>
      <c r="E41" s="100"/>
      <c r="F41" s="102"/>
      <c r="G41" s="102"/>
      <c r="H41" s="96" t="str">
        <f>IFERROR(VLOOKUP(E41,'Szakmajegyzék 2021.I.1-'!$B$7:$C$181,2,0),"")</f>
        <v/>
      </c>
      <c r="I41" s="130" t="str">
        <f>IFERROR(VLOOKUP(E41,'Szakmajegyzék 2021.I.1-'!$B$7:$K$181,10,0),"")</f>
        <v/>
      </c>
      <c r="J41" s="136" t="str">
        <f>IFERROR(VLOOKUP(E41,'Szakmajegyzék 2021.I.1-'!$L$7:$R$181,6,0),"")</f>
        <v/>
      </c>
      <c r="K41" s="195" t="str">
        <f>IFERROR(VLOOKUP(E41,'Szakmajegyzék 2021.I.1-'!$L$7:$R$181,7,0)*('Támogatás szorzat tényezői'!$C$15/'Támogatás szorzat tényezői'!$C$14),"")</f>
        <v/>
      </c>
      <c r="L41" s="98" t="str">
        <f t="shared" si="1"/>
        <v/>
      </c>
      <c r="M41" s="120" t="str">
        <f>IFERROR((F41*K41*'Támogatás szorzat tényezői'!$C$7)+(G41*K41*'Támogatás szorzat tényezői'!$C$7*'Támogatás szorzat tényezői'!$C$8),"")</f>
        <v/>
      </c>
      <c r="N41" s="253"/>
      <c r="O41" s="254"/>
      <c r="P41" s="254"/>
      <c r="Q41" s="248" t="str">
        <f>IF(N41="","",K41*'Támogatás szorzat tényezői'!$C$7*N41)</f>
        <v/>
      </c>
      <c r="R41" s="248" t="str">
        <f>IF(P41="","",J41*(1-'Támogatás szorzat tényezői'!$C$7)*P41)</f>
        <v/>
      </c>
      <c r="S41" s="249" t="str">
        <f t="shared" si="2"/>
        <v/>
      </c>
      <c r="T41" s="250" t="str">
        <f t="shared" si="3"/>
        <v/>
      </c>
      <c r="U41" s="251" t="str">
        <f t="shared" si="4"/>
        <v/>
      </c>
      <c r="V41" s="252" t="str">
        <f t="shared" si="5"/>
        <v/>
      </c>
    </row>
    <row r="42" spans="1:22" ht="30" customHeight="1" x14ac:dyDescent="0.25">
      <c r="A42" s="235"/>
      <c r="B42" s="100"/>
      <c r="C42" s="100"/>
      <c r="D42" s="102"/>
      <c r="E42" s="100"/>
      <c r="F42" s="102"/>
      <c r="G42" s="102"/>
      <c r="H42" s="96" t="str">
        <f>IFERROR(VLOOKUP(E42,'Szakmajegyzék 2021.I.1-'!$B$7:$C$181,2,0),"")</f>
        <v/>
      </c>
      <c r="I42" s="130" t="str">
        <f>IFERROR(VLOOKUP(E42,'Szakmajegyzék 2021.I.1-'!$B$7:$K$181,10,0),"")</f>
        <v/>
      </c>
      <c r="J42" s="136" t="str">
        <f>IFERROR(VLOOKUP(E42,'Szakmajegyzék 2021.I.1-'!$L$7:$R$181,6,0),"")</f>
        <v/>
      </c>
      <c r="K42" s="195" t="str">
        <f>IFERROR(VLOOKUP(E42,'Szakmajegyzék 2021.I.1-'!$L$7:$R$181,7,0)*('Támogatás szorzat tényezői'!$C$15/'Támogatás szorzat tényezői'!$C$14),"")</f>
        <v/>
      </c>
      <c r="L42" s="98" t="str">
        <f t="shared" si="1"/>
        <v/>
      </c>
      <c r="M42" s="120" t="str">
        <f>IFERROR((F42*K42*'Támogatás szorzat tényezői'!$C$7)+(G42*K42*'Támogatás szorzat tényezői'!$C$7*'Támogatás szorzat tényezői'!$C$8),"")</f>
        <v/>
      </c>
      <c r="N42" s="253"/>
      <c r="O42" s="254"/>
      <c r="P42" s="254"/>
      <c r="Q42" s="248" t="str">
        <f>IF(N42="","",K42*'Támogatás szorzat tényezői'!$C$7*N42)</f>
        <v/>
      </c>
      <c r="R42" s="248" t="str">
        <f>IF(P42="","",J42*(1-'Támogatás szorzat tényezői'!$C$7)*P42)</f>
        <v/>
      </c>
      <c r="S42" s="249" t="str">
        <f t="shared" si="2"/>
        <v/>
      </c>
      <c r="T42" s="250" t="str">
        <f t="shared" si="3"/>
        <v/>
      </c>
      <c r="U42" s="251" t="str">
        <f t="shared" si="4"/>
        <v/>
      </c>
      <c r="V42" s="252" t="str">
        <f t="shared" si="5"/>
        <v/>
      </c>
    </row>
    <row r="43" spans="1:22" ht="30" customHeight="1" x14ac:dyDescent="0.25">
      <c r="A43" s="235"/>
      <c r="B43" s="100"/>
      <c r="C43" s="100"/>
      <c r="D43" s="102"/>
      <c r="E43" s="100"/>
      <c r="F43" s="102"/>
      <c r="G43" s="102"/>
      <c r="H43" s="96" t="str">
        <f>IFERROR(VLOOKUP(E43,'Szakmajegyzék 2021.I.1-'!$B$7:$C$181,2,0),"")</f>
        <v/>
      </c>
      <c r="I43" s="130" t="str">
        <f>IFERROR(VLOOKUP(E43,'Szakmajegyzék 2021.I.1-'!$B$7:$K$181,10,0),"")</f>
        <v/>
      </c>
      <c r="J43" s="136" t="str">
        <f>IFERROR(VLOOKUP(E43,'Szakmajegyzék 2021.I.1-'!$L$7:$R$181,6,0),"")</f>
        <v/>
      </c>
      <c r="K43" s="195" t="str">
        <f>IFERROR(VLOOKUP(E43,'Szakmajegyzék 2021.I.1-'!$L$7:$R$181,7,0)*('Támogatás szorzat tényezői'!$C$15/'Támogatás szorzat tényezői'!$C$14),"")</f>
        <v/>
      </c>
      <c r="L43" s="98" t="str">
        <f t="shared" si="1"/>
        <v/>
      </c>
      <c r="M43" s="120" t="str">
        <f>IFERROR((F43*K43*'Támogatás szorzat tényezői'!$C$7)+(G43*K43*'Támogatás szorzat tényezői'!$C$7*'Támogatás szorzat tényezői'!$C$8),"")</f>
        <v/>
      </c>
      <c r="N43" s="253"/>
      <c r="O43" s="254"/>
      <c r="P43" s="254"/>
      <c r="Q43" s="248" t="str">
        <f>IF(N43="","",K43*'Támogatás szorzat tényezői'!$C$7*N43)</f>
        <v/>
      </c>
      <c r="R43" s="248" t="str">
        <f>IF(P43="","",J43*(1-'Támogatás szorzat tényezői'!$C$7)*P43)</f>
        <v/>
      </c>
      <c r="S43" s="249" t="str">
        <f t="shared" si="2"/>
        <v/>
      </c>
      <c r="T43" s="250" t="str">
        <f t="shared" si="3"/>
        <v/>
      </c>
      <c r="U43" s="251" t="str">
        <f t="shared" si="4"/>
        <v/>
      </c>
      <c r="V43" s="252" t="str">
        <f t="shared" si="5"/>
        <v/>
      </c>
    </row>
    <row r="44" spans="1:22" ht="30" customHeight="1" x14ac:dyDescent="0.25">
      <c r="A44" s="235"/>
      <c r="B44" s="100"/>
      <c r="C44" s="100"/>
      <c r="D44" s="102"/>
      <c r="E44" s="100"/>
      <c r="F44" s="102"/>
      <c r="G44" s="102"/>
      <c r="H44" s="96" t="str">
        <f>IFERROR(VLOOKUP(E44,'Szakmajegyzék 2021.I.1-'!$B$7:$C$181,2,0),"")</f>
        <v/>
      </c>
      <c r="I44" s="130" t="str">
        <f>IFERROR(VLOOKUP(E44,'Szakmajegyzék 2021.I.1-'!$B$7:$K$181,10,0),"")</f>
        <v/>
      </c>
      <c r="J44" s="136" t="str">
        <f>IFERROR(VLOOKUP(E44,'Szakmajegyzék 2021.I.1-'!$L$7:$R$181,6,0),"")</f>
        <v/>
      </c>
      <c r="K44" s="195" t="str">
        <f>IFERROR(VLOOKUP(E44,'Szakmajegyzék 2021.I.1-'!$L$7:$R$181,7,0)*('Támogatás szorzat tényezői'!$C$15/'Támogatás szorzat tényezői'!$C$14),"")</f>
        <v/>
      </c>
      <c r="L44" s="98" t="str">
        <f t="shared" si="1"/>
        <v/>
      </c>
      <c r="M44" s="120" t="str">
        <f>IFERROR((F44*K44*'Támogatás szorzat tényezői'!$C$7)+(G44*K44*'Támogatás szorzat tényezői'!$C$7*'Támogatás szorzat tényezői'!$C$8),"")</f>
        <v/>
      </c>
      <c r="N44" s="253"/>
      <c r="O44" s="254"/>
      <c r="P44" s="254"/>
      <c r="Q44" s="248" t="str">
        <f>IF(N44="","",K44*'Támogatás szorzat tényezői'!$C$7*N44)</f>
        <v/>
      </c>
      <c r="R44" s="248" t="str">
        <f>IF(P44="","",J44*(1-'Támogatás szorzat tényezői'!$C$7)*P44)</f>
        <v/>
      </c>
      <c r="S44" s="249" t="str">
        <f t="shared" si="2"/>
        <v/>
      </c>
      <c r="T44" s="250" t="str">
        <f t="shared" si="3"/>
        <v/>
      </c>
      <c r="U44" s="251" t="str">
        <f t="shared" si="4"/>
        <v/>
      </c>
      <c r="V44" s="252" t="str">
        <f t="shared" si="5"/>
        <v/>
      </c>
    </row>
    <row r="45" spans="1:22" ht="30" customHeight="1" x14ac:dyDescent="0.25">
      <c r="A45" s="235"/>
      <c r="B45" s="100"/>
      <c r="C45" s="100"/>
      <c r="D45" s="102"/>
      <c r="E45" s="100"/>
      <c r="F45" s="102"/>
      <c r="G45" s="102"/>
      <c r="H45" s="96" t="str">
        <f>IFERROR(VLOOKUP(E45,'Szakmajegyzék 2021.I.1-'!$B$7:$C$181,2,0),"")</f>
        <v/>
      </c>
      <c r="I45" s="130" t="str">
        <f>IFERROR(VLOOKUP(E45,'Szakmajegyzék 2021.I.1-'!$B$7:$K$181,10,0),"")</f>
        <v/>
      </c>
      <c r="J45" s="136" t="str">
        <f>IFERROR(VLOOKUP(E45,'Szakmajegyzék 2021.I.1-'!$L$7:$R$181,6,0),"")</f>
        <v/>
      </c>
      <c r="K45" s="195" t="str">
        <f>IFERROR(VLOOKUP(E45,'Szakmajegyzék 2021.I.1-'!$L$7:$R$181,7,0)*('Támogatás szorzat tényezői'!$C$15/'Támogatás szorzat tényezői'!$C$14),"")</f>
        <v/>
      </c>
      <c r="L45" s="98" t="str">
        <f t="shared" si="1"/>
        <v/>
      </c>
      <c r="M45" s="120" t="str">
        <f>IFERROR((F45*K45*'Támogatás szorzat tényezői'!$C$7)+(G45*K45*'Támogatás szorzat tényezői'!$C$7*'Támogatás szorzat tényezői'!$C$8),"")</f>
        <v/>
      </c>
      <c r="N45" s="253"/>
      <c r="O45" s="254"/>
      <c r="P45" s="254"/>
      <c r="Q45" s="248" t="str">
        <f>IF(N45="","",K45*'Támogatás szorzat tényezői'!$C$7*N45)</f>
        <v/>
      </c>
      <c r="R45" s="248" t="str">
        <f>IF(P45="","",J45*(1-'Támogatás szorzat tényezői'!$C$7)*P45)</f>
        <v/>
      </c>
      <c r="S45" s="249" t="str">
        <f t="shared" si="2"/>
        <v/>
      </c>
      <c r="T45" s="250" t="str">
        <f t="shared" si="3"/>
        <v/>
      </c>
      <c r="U45" s="251" t="str">
        <f t="shared" si="4"/>
        <v/>
      </c>
      <c r="V45" s="252" t="str">
        <f t="shared" si="5"/>
        <v/>
      </c>
    </row>
    <row r="46" spans="1:22" ht="30" customHeight="1" x14ac:dyDescent="0.25">
      <c r="A46" s="235"/>
      <c r="B46" s="100"/>
      <c r="C46" s="100"/>
      <c r="D46" s="102"/>
      <c r="E46" s="100"/>
      <c r="F46" s="102"/>
      <c r="G46" s="102"/>
      <c r="H46" s="96" t="str">
        <f>IFERROR(VLOOKUP(E46,'Szakmajegyzék 2021.I.1-'!$B$7:$C$181,2,0),"")</f>
        <v/>
      </c>
      <c r="I46" s="130" t="str">
        <f>IFERROR(VLOOKUP(E46,'Szakmajegyzék 2021.I.1-'!$B$7:$K$181,10,0),"")</f>
        <v/>
      </c>
      <c r="J46" s="136" t="str">
        <f>IFERROR(VLOOKUP(E46,'Szakmajegyzék 2021.I.1-'!$L$7:$R$181,6,0),"")</f>
        <v/>
      </c>
      <c r="K46" s="195" t="str">
        <f>IFERROR(VLOOKUP(E46,'Szakmajegyzék 2021.I.1-'!$L$7:$R$181,7,0)*('Támogatás szorzat tényezői'!$C$15/'Támogatás szorzat tényezői'!$C$14),"")</f>
        <v/>
      </c>
      <c r="L46" s="98" t="str">
        <f t="shared" si="1"/>
        <v/>
      </c>
      <c r="M46" s="120" t="str">
        <f>IFERROR((F46*K46*'Támogatás szorzat tényezői'!$C$7)+(G46*K46*'Támogatás szorzat tényezői'!$C$7*'Támogatás szorzat tényezői'!$C$8),"")</f>
        <v/>
      </c>
      <c r="N46" s="253"/>
      <c r="O46" s="254"/>
      <c r="P46" s="254"/>
      <c r="Q46" s="248" t="str">
        <f>IF(N46="","",K46*'Támogatás szorzat tényezői'!$C$7*N46)</f>
        <v/>
      </c>
      <c r="R46" s="248" t="str">
        <f>IF(P46="","",J46*(1-'Támogatás szorzat tényezői'!$C$7)*P46)</f>
        <v/>
      </c>
      <c r="S46" s="249" t="str">
        <f t="shared" si="2"/>
        <v/>
      </c>
      <c r="T46" s="250" t="str">
        <f t="shared" si="3"/>
        <v/>
      </c>
      <c r="U46" s="251" t="str">
        <f t="shared" si="4"/>
        <v/>
      </c>
      <c r="V46" s="252" t="str">
        <f t="shared" si="5"/>
        <v/>
      </c>
    </row>
    <row r="47" spans="1:22" ht="30" customHeight="1" x14ac:dyDescent="0.25">
      <c r="A47" s="235"/>
      <c r="B47" s="100"/>
      <c r="C47" s="100"/>
      <c r="D47" s="102"/>
      <c r="E47" s="100"/>
      <c r="F47" s="102"/>
      <c r="G47" s="102"/>
      <c r="H47" s="96" t="str">
        <f>IFERROR(VLOOKUP(E47,'Szakmajegyzék 2021.I.1-'!$B$7:$C$181,2,0),"")</f>
        <v/>
      </c>
      <c r="I47" s="130" t="str">
        <f>IFERROR(VLOOKUP(E47,'Szakmajegyzék 2021.I.1-'!$B$7:$K$181,10,0),"")</f>
        <v/>
      </c>
      <c r="J47" s="136" t="str">
        <f>IFERROR(VLOOKUP(E47,'Szakmajegyzék 2021.I.1-'!$L$7:$R$181,6,0),"")</f>
        <v/>
      </c>
      <c r="K47" s="195" t="str">
        <f>IFERROR(VLOOKUP(E47,'Szakmajegyzék 2021.I.1-'!$L$7:$R$181,7,0)*('Támogatás szorzat tényezői'!$C$15/'Támogatás szorzat tényezői'!$C$14),"")</f>
        <v/>
      </c>
      <c r="L47" s="98" t="str">
        <f t="shared" si="1"/>
        <v/>
      </c>
      <c r="M47" s="120" t="str">
        <f>IFERROR((F47*K47*'Támogatás szorzat tényezői'!$C$7)+(G47*K47*'Támogatás szorzat tényezői'!$C$7*'Támogatás szorzat tényezői'!$C$8),"")</f>
        <v/>
      </c>
      <c r="N47" s="253"/>
      <c r="O47" s="254"/>
      <c r="P47" s="254"/>
      <c r="Q47" s="248" t="str">
        <f>IF(N47="","",K47*'Támogatás szorzat tényezői'!$C$7*N47)</f>
        <v/>
      </c>
      <c r="R47" s="248" t="str">
        <f>IF(P47="","",J47*(1-'Támogatás szorzat tényezői'!$C$7)*P47)</f>
        <v/>
      </c>
      <c r="S47" s="249" t="str">
        <f t="shared" si="2"/>
        <v/>
      </c>
      <c r="T47" s="250" t="str">
        <f t="shared" si="3"/>
        <v/>
      </c>
      <c r="U47" s="251" t="str">
        <f t="shared" si="4"/>
        <v/>
      </c>
      <c r="V47" s="252" t="str">
        <f t="shared" si="5"/>
        <v/>
      </c>
    </row>
    <row r="48" spans="1:22" ht="30" customHeight="1" x14ac:dyDescent="0.25">
      <c r="A48" s="235"/>
      <c r="B48" s="100"/>
      <c r="C48" s="100"/>
      <c r="D48" s="102"/>
      <c r="E48" s="100"/>
      <c r="F48" s="102"/>
      <c r="G48" s="102"/>
      <c r="H48" s="96" t="str">
        <f>IFERROR(VLOOKUP(E48,'Szakmajegyzék 2021.I.1-'!$B$7:$C$181,2,0),"")</f>
        <v/>
      </c>
      <c r="I48" s="130" t="str">
        <f>IFERROR(VLOOKUP(E48,'Szakmajegyzék 2021.I.1-'!$B$7:$K$181,10,0),"")</f>
        <v/>
      </c>
      <c r="J48" s="136" t="str">
        <f>IFERROR(VLOOKUP(E48,'Szakmajegyzék 2021.I.1-'!$L$7:$R$181,6,0),"")</f>
        <v/>
      </c>
      <c r="K48" s="195" t="str">
        <f>IFERROR(VLOOKUP(E48,'Szakmajegyzék 2021.I.1-'!$L$7:$R$181,7,0)*('Támogatás szorzat tényezői'!$C$15/'Támogatás szorzat tényezői'!$C$14),"")</f>
        <v/>
      </c>
      <c r="L48" s="98" t="str">
        <f t="shared" si="1"/>
        <v/>
      </c>
      <c r="M48" s="120" t="str">
        <f>IFERROR((F48*K48*'Támogatás szorzat tényezői'!$C$7)+(G48*K48*'Támogatás szorzat tényezői'!$C$7*'Támogatás szorzat tényezői'!$C$8),"")</f>
        <v/>
      </c>
      <c r="N48" s="253"/>
      <c r="O48" s="254"/>
      <c r="P48" s="254"/>
      <c r="Q48" s="248" t="str">
        <f>IF(N48="","",K48*'Támogatás szorzat tényezői'!$C$7*N48)</f>
        <v/>
      </c>
      <c r="R48" s="248" t="str">
        <f>IF(P48="","",J48*(1-'Támogatás szorzat tényezői'!$C$7)*P48)</f>
        <v/>
      </c>
      <c r="S48" s="249" t="str">
        <f t="shared" si="2"/>
        <v/>
      </c>
      <c r="T48" s="250" t="str">
        <f t="shared" si="3"/>
        <v/>
      </c>
      <c r="U48" s="251" t="str">
        <f t="shared" si="4"/>
        <v/>
      </c>
      <c r="V48" s="252" t="str">
        <f t="shared" si="5"/>
        <v/>
      </c>
    </row>
    <row r="49" spans="1:22" ht="30" customHeight="1" x14ac:dyDescent="0.25">
      <c r="A49" s="235"/>
      <c r="B49" s="100"/>
      <c r="C49" s="100"/>
      <c r="D49" s="102"/>
      <c r="E49" s="100"/>
      <c r="F49" s="102"/>
      <c r="G49" s="102"/>
      <c r="H49" s="96" t="str">
        <f>IFERROR(VLOOKUP(E49,'Szakmajegyzék 2021.I.1-'!$B$7:$C$181,2,0),"")</f>
        <v/>
      </c>
      <c r="I49" s="130" t="str">
        <f>IFERROR(VLOOKUP(E49,'Szakmajegyzék 2021.I.1-'!$B$7:$K$181,10,0),"")</f>
        <v/>
      </c>
      <c r="J49" s="136" t="str">
        <f>IFERROR(VLOOKUP(E49,'Szakmajegyzék 2021.I.1-'!$L$7:$R$181,6,0),"")</f>
        <v/>
      </c>
      <c r="K49" s="195" t="str">
        <f>IFERROR(VLOOKUP(E49,'Szakmajegyzék 2021.I.1-'!$L$7:$R$181,7,0)*('Támogatás szorzat tényezői'!$C$15/'Támogatás szorzat tényezői'!$C$14),"")</f>
        <v/>
      </c>
      <c r="L49" s="98" t="str">
        <f t="shared" si="1"/>
        <v/>
      </c>
      <c r="M49" s="120" t="str">
        <f>IFERROR((F49*K49*'Támogatás szorzat tényezői'!$C$7)+(G49*K49*'Támogatás szorzat tényezői'!$C$7*'Támogatás szorzat tényezői'!$C$8),"")</f>
        <v/>
      </c>
      <c r="N49" s="253"/>
      <c r="O49" s="254"/>
      <c r="P49" s="254"/>
      <c r="Q49" s="248" t="str">
        <f>IF(N49="","",K49*'Támogatás szorzat tényezői'!$C$7*N49)</f>
        <v/>
      </c>
      <c r="R49" s="248" t="str">
        <f>IF(P49="","",J49*(1-'Támogatás szorzat tényezői'!$C$7)*P49)</f>
        <v/>
      </c>
      <c r="S49" s="249" t="str">
        <f t="shared" si="2"/>
        <v/>
      </c>
      <c r="T49" s="250" t="str">
        <f t="shared" si="3"/>
        <v/>
      </c>
      <c r="U49" s="251" t="str">
        <f t="shared" si="4"/>
        <v/>
      </c>
      <c r="V49" s="252" t="str">
        <f t="shared" si="5"/>
        <v/>
      </c>
    </row>
    <row r="50" spans="1:22" ht="30" customHeight="1" x14ac:dyDescent="0.25">
      <c r="A50" s="235"/>
      <c r="B50" s="100"/>
      <c r="C50" s="100"/>
      <c r="D50" s="102"/>
      <c r="E50" s="100"/>
      <c r="F50" s="102"/>
      <c r="G50" s="102"/>
      <c r="H50" s="96" t="str">
        <f>IFERROR(VLOOKUP(E50,'Szakmajegyzék 2021.I.1-'!$B$7:$C$181,2,0),"")</f>
        <v/>
      </c>
      <c r="I50" s="130" t="str">
        <f>IFERROR(VLOOKUP(E50,'Szakmajegyzék 2021.I.1-'!$B$7:$K$181,10,0),"")</f>
        <v/>
      </c>
      <c r="J50" s="136" t="str">
        <f>IFERROR(VLOOKUP(E50,'Szakmajegyzék 2021.I.1-'!$L$7:$R$181,6,0),"")</f>
        <v/>
      </c>
      <c r="K50" s="195" t="str">
        <f>IFERROR(VLOOKUP(E50,'Szakmajegyzék 2021.I.1-'!$L$7:$R$181,7,0)*('Támogatás szorzat tényezői'!$C$15/'Támogatás szorzat tényezői'!$C$14),"")</f>
        <v/>
      </c>
      <c r="L50" s="98" t="str">
        <f t="shared" si="1"/>
        <v/>
      </c>
      <c r="M50" s="120" t="str">
        <f>IFERROR((F50*K50*'Támogatás szorzat tényezői'!$C$7)+(G50*K50*'Támogatás szorzat tényezői'!$C$7*'Támogatás szorzat tényezői'!$C$8),"")</f>
        <v/>
      </c>
      <c r="N50" s="253"/>
      <c r="O50" s="254"/>
      <c r="P50" s="254"/>
      <c r="Q50" s="248" t="str">
        <f>IF(N50="","",K50*'Támogatás szorzat tényezői'!$C$7*N50)</f>
        <v/>
      </c>
      <c r="R50" s="248" t="str">
        <f>IF(P50="","",J50*(1-'Támogatás szorzat tényezői'!$C$7)*P50)</f>
        <v/>
      </c>
      <c r="S50" s="249" t="str">
        <f t="shared" si="2"/>
        <v/>
      </c>
      <c r="T50" s="250" t="str">
        <f t="shared" si="3"/>
        <v/>
      </c>
      <c r="U50" s="251" t="str">
        <f t="shared" si="4"/>
        <v/>
      </c>
      <c r="V50" s="252" t="str">
        <f t="shared" si="5"/>
        <v/>
      </c>
    </row>
    <row r="51" spans="1:22" ht="30" customHeight="1" x14ac:dyDescent="0.25">
      <c r="A51" s="235"/>
      <c r="B51" s="100"/>
      <c r="C51" s="100"/>
      <c r="D51" s="102"/>
      <c r="E51" s="100"/>
      <c r="F51" s="102"/>
      <c r="G51" s="102"/>
      <c r="H51" s="96" t="str">
        <f>IFERROR(VLOOKUP(E51,'Szakmajegyzék 2021.I.1-'!$B$7:$C$181,2,0),"")</f>
        <v/>
      </c>
      <c r="I51" s="130" t="str">
        <f>IFERROR(VLOOKUP(E51,'Szakmajegyzék 2021.I.1-'!$B$7:$K$181,10,0),"")</f>
        <v/>
      </c>
      <c r="J51" s="136" t="str">
        <f>IFERROR(VLOOKUP(E51,'Szakmajegyzék 2021.I.1-'!$L$7:$R$181,6,0),"")</f>
        <v/>
      </c>
      <c r="K51" s="195" t="str">
        <f>IFERROR(VLOOKUP(E51,'Szakmajegyzék 2021.I.1-'!$L$7:$R$181,7,0)*('Támogatás szorzat tényezői'!$C$15/'Támogatás szorzat tényezői'!$C$14),"")</f>
        <v/>
      </c>
      <c r="L51" s="98" t="str">
        <f t="shared" si="1"/>
        <v/>
      </c>
      <c r="M51" s="120" t="str">
        <f>IFERROR((F51*K51*'Támogatás szorzat tényezői'!$C$7)+(G51*K51*'Támogatás szorzat tényezői'!$C$7*'Támogatás szorzat tényezői'!$C$8),"")</f>
        <v/>
      </c>
      <c r="N51" s="253"/>
      <c r="O51" s="254"/>
      <c r="P51" s="254"/>
      <c r="Q51" s="248" t="str">
        <f>IF(N51="","",K51*'Támogatás szorzat tényezői'!$C$7*N51)</f>
        <v/>
      </c>
      <c r="R51" s="248" t="str">
        <f>IF(P51="","",J51*(1-'Támogatás szorzat tényezői'!$C$7)*P51)</f>
        <v/>
      </c>
      <c r="S51" s="249" t="str">
        <f t="shared" si="2"/>
        <v/>
      </c>
      <c r="T51" s="250" t="str">
        <f t="shared" si="3"/>
        <v/>
      </c>
      <c r="U51" s="251" t="str">
        <f t="shared" si="4"/>
        <v/>
      </c>
      <c r="V51" s="252" t="str">
        <f t="shared" si="5"/>
        <v/>
      </c>
    </row>
    <row r="52" spans="1:22" ht="30" customHeight="1" x14ac:dyDescent="0.25">
      <c r="A52" s="235"/>
      <c r="B52" s="100"/>
      <c r="C52" s="100"/>
      <c r="D52" s="102"/>
      <c r="E52" s="100"/>
      <c r="F52" s="102"/>
      <c r="G52" s="102"/>
      <c r="H52" s="96" t="str">
        <f>IFERROR(VLOOKUP(E52,'Szakmajegyzék 2021.I.1-'!$B$7:$C$181,2,0),"")</f>
        <v/>
      </c>
      <c r="I52" s="130" t="str">
        <f>IFERROR(VLOOKUP(E52,'Szakmajegyzék 2021.I.1-'!$B$7:$K$181,10,0),"")</f>
        <v/>
      </c>
      <c r="J52" s="136" t="str">
        <f>IFERROR(VLOOKUP(E52,'Szakmajegyzék 2021.I.1-'!$L$7:$R$181,6,0),"")</f>
        <v/>
      </c>
      <c r="K52" s="195" t="str">
        <f>IFERROR(VLOOKUP(E52,'Szakmajegyzék 2021.I.1-'!$L$7:$R$181,7,0)*('Támogatás szorzat tényezői'!$C$15/'Támogatás szorzat tényezői'!$C$14),"")</f>
        <v/>
      </c>
      <c r="L52" s="98" t="str">
        <f t="shared" si="1"/>
        <v/>
      </c>
      <c r="M52" s="120" t="str">
        <f>IFERROR((F52*K52*'Támogatás szorzat tényezői'!$C$7)+(G52*K52*'Támogatás szorzat tényezői'!$C$7*'Támogatás szorzat tényezői'!$C$8),"")</f>
        <v/>
      </c>
      <c r="N52" s="253"/>
      <c r="O52" s="254"/>
      <c r="P52" s="254"/>
      <c r="Q52" s="248" t="str">
        <f>IF(N52="","",K52*'Támogatás szorzat tényezői'!$C$7*N52)</f>
        <v/>
      </c>
      <c r="R52" s="248" t="str">
        <f>IF(P52="","",J52*(1-'Támogatás szorzat tényezői'!$C$7)*P52)</f>
        <v/>
      </c>
      <c r="S52" s="249" t="str">
        <f t="shared" si="2"/>
        <v/>
      </c>
      <c r="T52" s="250" t="str">
        <f t="shared" si="3"/>
        <v/>
      </c>
      <c r="U52" s="251" t="str">
        <f t="shared" si="4"/>
        <v/>
      </c>
      <c r="V52" s="252" t="str">
        <f t="shared" si="5"/>
        <v/>
      </c>
    </row>
    <row r="53" spans="1:22" ht="30" customHeight="1" x14ac:dyDescent="0.25">
      <c r="A53" s="235"/>
      <c r="B53" s="100"/>
      <c r="C53" s="100"/>
      <c r="D53" s="102"/>
      <c r="E53" s="100"/>
      <c r="F53" s="102"/>
      <c r="G53" s="102"/>
      <c r="H53" s="96" t="str">
        <f>IFERROR(VLOOKUP(E53,'Szakmajegyzék 2021.I.1-'!$B$7:$C$181,2,0),"")</f>
        <v/>
      </c>
      <c r="I53" s="130" t="str">
        <f>IFERROR(VLOOKUP(E53,'Szakmajegyzék 2021.I.1-'!$B$7:$K$181,10,0),"")</f>
        <v/>
      </c>
      <c r="J53" s="136" t="str">
        <f>IFERROR(VLOOKUP(E53,'Szakmajegyzék 2021.I.1-'!$L$7:$R$181,6,0),"")</f>
        <v/>
      </c>
      <c r="K53" s="195" t="str">
        <f>IFERROR(VLOOKUP(E53,'Szakmajegyzék 2021.I.1-'!$L$7:$R$181,7,0)*('Támogatás szorzat tényezői'!$C$15/'Támogatás szorzat tényezői'!$C$14),"")</f>
        <v/>
      </c>
      <c r="L53" s="98" t="str">
        <f t="shared" si="1"/>
        <v/>
      </c>
      <c r="M53" s="120" t="str">
        <f>IFERROR((F53*K53*'Támogatás szorzat tényezői'!$C$7)+(G53*K53*'Támogatás szorzat tényezői'!$C$7*'Támogatás szorzat tényezői'!$C$8),"")</f>
        <v/>
      </c>
      <c r="N53" s="253"/>
      <c r="O53" s="254"/>
      <c r="P53" s="254"/>
      <c r="Q53" s="248" t="str">
        <f>IF(N53="","",K53*'Támogatás szorzat tényezői'!$C$7*N53)</f>
        <v/>
      </c>
      <c r="R53" s="248" t="str">
        <f>IF(P53="","",J53*(1-'Támogatás szorzat tényezői'!$C$7)*P53)</f>
        <v/>
      </c>
      <c r="S53" s="249" t="str">
        <f t="shared" si="2"/>
        <v/>
      </c>
      <c r="T53" s="250" t="str">
        <f t="shared" si="3"/>
        <v/>
      </c>
      <c r="U53" s="251" t="str">
        <f t="shared" si="4"/>
        <v/>
      </c>
      <c r="V53" s="252" t="str">
        <f t="shared" si="5"/>
        <v/>
      </c>
    </row>
    <row r="54" spans="1:22" x14ac:dyDescent="0.25"/>
    <row r="55" spans="1:22" x14ac:dyDescent="0.25"/>
    <row r="56" spans="1:22" x14ac:dyDescent="0.25"/>
    <row r="57" spans="1:22" x14ac:dyDescent="0.25"/>
    <row r="58" spans="1:22" x14ac:dyDescent="0.25"/>
    <row r="59" spans="1:22" x14ac:dyDescent="0.25"/>
    <row r="60" spans="1:22" x14ac:dyDescent="0.25"/>
    <row r="61" spans="1:22" x14ac:dyDescent="0.25"/>
    <row r="62" spans="1:22" x14ac:dyDescent="0.25"/>
    <row r="63" spans="1:22" x14ac:dyDescent="0.25"/>
    <row r="64" spans="1:22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  <row r="1003" x14ac:dyDescent="0.25"/>
    <row r="1004" x14ac:dyDescent="0.25"/>
    <row r="1005" x14ac:dyDescent="0.25"/>
    <row r="1006" x14ac:dyDescent="0.25"/>
    <row r="1007" x14ac:dyDescent="0.25"/>
    <row r="1008" x14ac:dyDescent="0.25"/>
    <row r="1009" x14ac:dyDescent="0.25"/>
    <row r="1010" x14ac:dyDescent="0.25"/>
    <row r="1011" x14ac:dyDescent="0.25"/>
    <row r="1012" x14ac:dyDescent="0.25"/>
    <row r="1013" x14ac:dyDescent="0.25"/>
    <row r="1014" x14ac:dyDescent="0.25"/>
    <row r="1015" x14ac:dyDescent="0.25"/>
    <row r="1016" x14ac:dyDescent="0.25"/>
    <row r="1017" x14ac:dyDescent="0.25"/>
    <row r="1018" x14ac:dyDescent="0.25"/>
    <row r="1019" x14ac:dyDescent="0.25"/>
    <row r="1020" x14ac:dyDescent="0.25"/>
    <row r="1021" x14ac:dyDescent="0.25"/>
    <row r="1022" x14ac:dyDescent="0.25"/>
    <row r="1023" x14ac:dyDescent="0.25"/>
    <row r="1024" x14ac:dyDescent="0.25"/>
    <row r="1025" x14ac:dyDescent="0.25"/>
    <row r="1026" x14ac:dyDescent="0.25"/>
    <row r="1027" x14ac:dyDescent="0.25"/>
    <row r="1028" x14ac:dyDescent="0.25"/>
    <row r="1029" x14ac:dyDescent="0.25"/>
    <row r="1030" x14ac:dyDescent="0.25"/>
    <row r="1031" x14ac:dyDescent="0.25"/>
    <row r="1032" x14ac:dyDescent="0.25"/>
    <row r="1033" x14ac:dyDescent="0.25"/>
    <row r="1034" x14ac:dyDescent="0.25"/>
    <row r="1035" x14ac:dyDescent="0.25"/>
    <row r="1036" x14ac:dyDescent="0.25"/>
    <row r="1037" x14ac:dyDescent="0.25"/>
    <row r="1038" x14ac:dyDescent="0.25"/>
    <row r="1039" x14ac:dyDescent="0.25"/>
    <row r="1040" x14ac:dyDescent="0.25"/>
    <row r="1041" x14ac:dyDescent="0.25"/>
    <row r="1042" x14ac:dyDescent="0.25"/>
    <row r="1043" x14ac:dyDescent="0.25"/>
    <row r="1044" x14ac:dyDescent="0.25"/>
    <row r="1045" x14ac:dyDescent="0.25"/>
    <row r="1046" x14ac:dyDescent="0.25"/>
    <row r="1047" x14ac:dyDescent="0.25"/>
    <row r="1048" x14ac:dyDescent="0.25"/>
    <row r="1049" x14ac:dyDescent="0.25"/>
    <row r="1050" x14ac:dyDescent="0.25"/>
    <row r="1051" x14ac:dyDescent="0.25"/>
    <row r="1052" x14ac:dyDescent="0.25"/>
    <row r="1053" x14ac:dyDescent="0.25"/>
    <row r="1054" x14ac:dyDescent="0.25"/>
    <row r="1055" x14ac:dyDescent="0.25"/>
    <row r="1056" x14ac:dyDescent="0.25"/>
    <row r="1057" x14ac:dyDescent="0.25"/>
    <row r="1058" x14ac:dyDescent="0.25"/>
    <row r="1059" x14ac:dyDescent="0.25"/>
    <row r="1060" x14ac:dyDescent="0.25"/>
    <row r="1061" x14ac:dyDescent="0.25"/>
    <row r="1062" x14ac:dyDescent="0.25"/>
    <row r="1063" x14ac:dyDescent="0.25"/>
    <row r="1064" x14ac:dyDescent="0.25"/>
    <row r="1065" x14ac:dyDescent="0.25"/>
    <row r="1066" x14ac:dyDescent="0.25"/>
    <row r="1067" x14ac:dyDescent="0.25"/>
    <row r="1068" x14ac:dyDescent="0.25"/>
    <row r="1069" x14ac:dyDescent="0.25"/>
    <row r="1070" x14ac:dyDescent="0.25"/>
    <row r="1071" x14ac:dyDescent="0.25"/>
    <row r="1072" x14ac:dyDescent="0.25"/>
    <row r="1073" x14ac:dyDescent="0.25"/>
    <row r="1074" x14ac:dyDescent="0.25"/>
    <row r="1075" x14ac:dyDescent="0.25"/>
    <row r="1076" x14ac:dyDescent="0.25"/>
    <row r="1077" x14ac:dyDescent="0.25"/>
    <row r="1078" x14ac:dyDescent="0.25"/>
    <row r="1079" x14ac:dyDescent="0.25"/>
    <row r="1080" x14ac:dyDescent="0.25"/>
    <row r="1081" x14ac:dyDescent="0.25"/>
    <row r="1082" x14ac:dyDescent="0.25"/>
    <row r="1083" x14ac:dyDescent="0.25"/>
    <row r="1084" x14ac:dyDescent="0.25"/>
    <row r="1085" x14ac:dyDescent="0.25"/>
    <row r="1086" x14ac:dyDescent="0.25"/>
    <row r="1087" x14ac:dyDescent="0.25"/>
    <row r="1088" x14ac:dyDescent="0.25"/>
    <row r="1089" x14ac:dyDescent="0.25"/>
    <row r="1090" x14ac:dyDescent="0.25"/>
    <row r="1091" x14ac:dyDescent="0.25"/>
    <row r="1092" x14ac:dyDescent="0.25"/>
    <row r="1093" x14ac:dyDescent="0.25"/>
    <row r="1094" x14ac:dyDescent="0.25"/>
    <row r="1095" x14ac:dyDescent="0.25"/>
    <row r="1096" x14ac:dyDescent="0.25"/>
    <row r="1097" x14ac:dyDescent="0.25"/>
    <row r="1098" x14ac:dyDescent="0.25"/>
    <row r="1099" x14ac:dyDescent="0.25"/>
    <row r="1100" x14ac:dyDescent="0.25"/>
    <row r="1101" x14ac:dyDescent="0.25"/>
    <row r="1102" x14ac:dyDescent="0.25"/>
    <row r="1103" x14ac:dyDescent="0.25"/>
    <row r="1104" x14ac:dyDescent="0.25"/>
    <row r="1105" x14ac:dyDescent="0.25"/>
    <row r="1106" x14ac:dyDescent="0.25"/>
    <row r="1107" x14ac:dyDescent="0.25"/>
    <row r="1108" x14ac:dyDescent="0.25"/>
    <row r="1109" x14ac:dyDescent="0.25"/>
    <row r="1110" x14ac:dyDescent="0.25"/>
    <row r="1111" x14ac:dyDescent="0.25"/>
    <row r="1112" x14ac:dyDescent="0.25"/>
    <row r="1113" x14ac:dyDescent="0.25"/>
    <row r="1114" x14ac:dyDescent="0.25"/>
    <row r="1115" x14ac:dyDescent="0.25"/>
    <row r="1116" x14ac:dyDescent="0.25"/>
    <row r="1117" x14ac:dyDescent="0.25"/>
    <row r="1118" x14ac:dyDescent="0.25"/>
    <row r="1119" x14ac:dyDescent="0.25"/>
  </sheetData>
  <sheetProtection insertRows="0" deleteRows="0" autoFilter="0"/>
  <autoFilter ref="A3:V3"/>
  <conditionalFormatting sqref="N4:P53">
    <cfRule type="containsBlanks" dxfId="388" priority="15">
      <formula>LEN(TRIM(N4))=0</formula>
    </cfRule>
  </conditionalFormatting>
  <conditionalFormatting sqref="F4:G53">
    <cfRule type="containsBlanks" dxfId="387" priority="14">
      <formula>LEN(TRIM(F4))=0</formula>
    </cfRule>
  </conditionalFormatting>
  <conditionalFormatting sqref="A4:E53">
    <cfRule type="containsBlanks" dxfId="386" priority="13">
      <formula>LEN(TRIM(A4))=0</formula>
    </cfRule>
  </conditionalFormatting>
  <conditionalFormatting sqref="T4:V53">
    <cfRule type="containsText" dxfId="385" priority="12" operator="containsText" text="hibás">
      <formula>NOT(ISERROR(SEARCH("hibás",T4)))</formula>
    </cfRule>
  </conditionalFormatting>
  <conditionalFormatting sqref="U2">
    <cfRule type="expression" dxfId="384" priority="9">
      <formula>$V$2&gt;0</formula>
    </cfRule>
    <cfRule type="expression" dxfId="383" priority="10">
      <formula>$V$2=0</formula>
    </cfRule>
  </conditionalFormatting>
  <conditionalFormatting sqref="C2:D2">
    <cfRule type="expression" dxfId="382" priority="1">
      <formula>$D$2&gt;0</formula>
    </cfRule>
    <cfRule type="expression" dxfId="381" priority="2">
      <formula>$D$2=0</formula>
    </cfRule>
  </conditionalFormatting>
  <dataValidations count="5">
    <dataValidation type="whole" operator="greaterThanOrEqual" allowBlank="1" showInputMessage="1" showErrorMessage="1" sqref="F4:G53">
      <formula1>0</formula1>
    </dataValidation>
    <dataValidation type="list" allowBlank="1" showInputMessage="1" showErrorMessage="1" sqref="B4:C53">
      <formula1>INDIRECT(A4)</formula1>
    </dataValidation>
    <dataValidation type="whole" operator="lessThanOrEqual" allowBlank="1" showInputMessage="1" showErrorMessage="1" error="A cella értéke csak egész szám lehet és nem lehet nagyobb, mint a sor &quot;N&quot; oszlop szerinti értéke." sqref="O4:O53">
      <formula1>N4</formula1>
    </dataValidation>
    <dataValidation type="whole" operator="lessThanOrEqual" allowBlank="1" showInputMessage="1" showErrorMessage="1" error="A cella értéke csak egész szám lehet és nem lehet nagyobb, mint a sor &quot;O&quot; oszlop szerinti értéke." sqref="P4:P53">
      <formula1>O4</formula1>
    </dataValidation>
    <dataValidation type="whole" operator="greaterThanOrEqual" allowBlank="1" showInputMessage="1" showErrorMessage="1" error="A cella értéke csak egész szám lehet és nem lehet kisebb, mint a sor &quot;F&quot; oszlop szerinti értéke. Amennyiben a sor &quot;F&quot; oszlop szerinti adata hibás, először annak javítása szükséges." sqref="N4:N53">
      <formula1>F4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scale="48" fitToHeight="0" orientation="landscape" r:id="rId1"/>
  <headerFooter>
    <oddFooter>&amp;C&amp;N / 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'Szakmajegyzék 2021.I.1-'!$L$7:$L$181</xm:f>
          </x14:formula1>
          <xm:sqref>E4:E53</xm:sqref>
        </x14:dataValidation>
        <x14:dataValidation type="list" allowBlank="1" showInputMessage="1" showErrorMessage="1">
          <x14:formula1>
            <xm:f>Háttértáblák!$J$8:$J$9</xm:f>
          </x14:formula1>
          <xm:sqref>D4:D53</xm:sqref>
        </x14:dataValidation>
        <x14:dataValidation type="list" allowBlank="1" showInputMessage="1" showErrorMessage="1">
          <x14:formula1>
            <xm:f>Háttértáblák!$A$2:$A$9</xm:f>
          </x14:formula1>
          <xm:sqref>A4:A53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AE93"/>
  <sheetViews>
    <sheetView zoomScale="80" zoomScaleNormal="80" workbookViewId="0">
      <pane xSplit="1" ySplit="3" topLeftCell="B4" activePane="bottomRight" state="frozen"/>
      <selection activeCell="C36" sqref="C36"/>
      <selection pane="topRight" activeCell="C36" sqref="C36"/>
      <selection pane="bottomLeft" activeCell="C36" sqref="C36"/>
      <selection pane="bottomRight" activeCell="E11" sqref="E11"/>
    </sheetView>
  </sheetViews>
  <sheetFormatPr defaultColWidth="9.140625" defaultRowHeight="15" zeroHeight="1" x14ac:dyDescent="0.25"/>
  <cols>
    <col min="1" max="1" width="21.7109375" style="3" customWidth="1"/>
    <col min="2" max="2" width="18.85546875" style="3" customWidth="1"/>
    <col min="3" max="3" width="38" style="3" customWidth="1"/>
    <col min="4" max="4" width="24.140625" style="3" bestFit="1" customWidth="1"/>
    <col min="5" max="5" width="38.85546875" style="3" customWidth="1"/>
    <col min="6" max="7" width="11.7109375" style="3" customWidth="1"/>
    <col min="8" max="8" width="10.7109375" style="3" customWidth="1"/>
    <col min="9" max="9" width="12.140625" style="3" customWidth="1"/>
    <col min="10" max="10" width="14.85546875" style="3" customWidth="1"/>
    <col min="11" max="11" width="13.28515625" style="3" customWidth="1"/>
    <col min="12" max="12" width="24" style="3" customWidth="1"/>
    <col min="13" max="13" width="17.7109375" style="3" customWidth="1"/>
    <col min="14" max="14" width="14.28515625" style="3" customWidth="1"/>
    <col min="15" max="15" width="14.28515625" style="106" customWidth="1"/>
    <col min="16" max="17" width="14.28515625" style="3" customWidth="1"/>
    <col min="18" max="18" width="15.7109375" style="3" customWidth="1"/>
    <col min="19" max="21" width="15.7109375" style="106" customWidth="1"/>
    <col min="22" max="22" width="18.42578125" style="106" customWidth="1"/>
    <col min="23" max="23" width="16.5703125" style="106" customWidth="1"/>
    <col min="24" max="24" width="15.7109375" style="106" customWidth="1"/>
    <col min="25" max="25" width="15.85546875" style="3" customWidth="1"/>
    <col min="26" max="26" width="52.28515625" style="3" customWidth="1"/>
    <col min="27" max="27" width="52.42578125" style="3" customWidth="1"/>
    <col min="28" max="28" width="52.42578125" style="3" bestFit="1" customWidth="1"/>
    <col min="29" max="29" width="52.28515625" style="3" customWidth="1"/>
    <col min="30" max="30" width="60.85546875" style="3" customWidth="1"/>
    <col min="31" max="31" width="52.42578125" style="3" bestFit="1" customWidth="1"/>
    <col min="32" max="16384" width="9.140625" style="3"/>
  </cols>
  <sheetData>
    <row r="1" spans="1:31" ht="30" customHeight="1" x14ac:dyDescent="0.25">
      <c r="A1" s="236" t="s">
        <v>2813</v>
      </c>
      <c r="B1" s="18"/>
      <c r="C1" s="18"/>
      <c r="D1" s="18"/>
      <c r="E1" s="147" t="s">
        <v>381</v>
      </c>
      <c r="F1" s="18"/>
      <c r="G1" s="18"/>
      <c r="H1" s="18"/>
      <c r="I1" s="18"/>
      <c r="J1" s="18"/>
      <c r="K1" s="18"/>
      <c r="L1" s="18"/>
      <c r="M1" s="18"/>
      <c r="N1" s="17"/>
      <c r="O1" s="18"/>
      <c r="P1" s="128" t="s">
        <v>2032</v>
      </c>
      <c r="Q1" s="16"/>
      <c r="R1" s="122"/>
      <c r="S1" s="4"/>
      <c r="T1" s="128" t="s">
        <v>1894</v>
      </c>
      <c r="U1" s="4"/>
      <c r="V1" s="258"/>
      <c r="W1" s="198"/>
      <c r="X1" s="198"/>
      <c r="Y1" s="123"/>
      <c r="Z1" s="245"/>
      <c r="AA1" s="128" t="s">
        <v>2817</v>
      </c>
      <c r="AB1" s="255"/>
      <c r="AC1" s="245"/>
      <c r="AD1" s="128"/>
      <c r="AE1" s="246"/>
    </row>
    <row r="2" spans="1:31" ht="30" customHeight="1" x14ac:dyDescent="0.25">
      <c r="A2" s="230" t="s">
        <v>366</v>
      </c>
      <c r="B2" s="31"/>
      <c r="C2" s="259" t="s">
        <v>2826</v>
      </c>
      <c r="D2" s="268">
        <f>COUNTBLANK(A4:E53)+COUNTBLANK(H4:K53)</f>
        <v>400</v>
      </c>
      <c r="E2" s="31"/>
      <c r="F2" s="31"/>
      <c r="G2" s="31"/>
      <c r="H2" s="31"/>
      <c r="I2" s="31"/>
      <c r="J2" s="132">
        <f>SUM(J4:J53)</f>
        <v>0</v>
      </c>
      <c r="K2" s="238">
        <f>SUM(K4:K53)</f>
        <v>0</v>
      </c>
      <c r="L2" s="266"/>
      <c r="M2" s="267"/>
      <c r="N2" s="131"/>
      <c r="O2" s="193"/>
      <c r="P2" s="132">
        <f t="shared" ref="P2:U2" si="0">SUM(P4:P53)</f>
        <v>0</v>
      </c>
      <c r="Q2" s="125">
        <f t="shared" si="0"/>
        <v>0</v>
      </c>
      <c r="R2" s="124">
        <f t="shared" si="0"/>
        <v>0</v>
      </c>
      <c r="S2" s="132">
        <f t="shared" si="0"/>
        <v>0</v>
      </c>
      <c r="T2" s="132">
        <f t="shared" si="0"/>
        <v>0</v>
      </c>
      <c r="U2" s="132">
        <f t="shared" si="0"/>
        <v>0</v>
      </c>
      <c r="V2" s="193"/>
      <c r="W2" s="132">
        <f>SUM(W4:W53)</f>
        <v>0</v>
      </c>
      <c r="X2" s="132">
        <f>SUM(X4:X53)</f>
        <v>0</v>
      </c>
      <c r="Y2" s="125">
        <f>SUM(Y4:Y53)</f>
        <v>0</v>
      </c>
      <c r="Z2" s="17"/>
      <c r="AA2" s="247" t="str">
        <f>"LOGIKAI HIBÁK SZÁMA: "&amp;AB2</f>
        <v>LOGIKAI HIBÁK SZÁMA: 0</v>
      </c>
      <c r="AB2" s="258">
        <f>COUNTIF(Z4:Z53,"Az ''I'' és/vagy a ''H'' oszlop értéke hibás! Kérjük balról jobbra haladva adja meg a helyes értékeket.")+COUNTIF(AA4:AA53,"A ''J'' és/vagy az ''R'' oszlop értéke hibás! Kérjük balról jobbra haladva adja meg a helyes értékeket.")+COUNTIF(AB4:AB53,"Az ''R'' és/vagy az ''S'' oszlop értéke hibás! Kérjük balról jobbra haladva adja meg a helyes értékeket.")+COUNTIF(AC4:AC53,"Az ''S'' és/vagy a ''T'' oszlop értéke hibás! Kérjük balról jobbra haladva adja meg a helyes értékeket.")+COUNTIF(AD4:AD53,"Az ''S'' és/vagy a ''T'' és/vagy az ''U'' oszlop értéke hibás! Kérjük balról jobbra haladva adja meg a helyes értékeket.")+COUNTIF(AE4:AE53,"Az ''I'' és/vagy a ''V'' oszlop értéke hibás! Kérjük balról jobbra haladva adja meg a helyes értékeket.")</f>
        <v>0</v>
      </c>
      <c r="AC2" s="18"/>
      <c r="AD2" s="247"/>
      <c r="AE2" s="16"/>
    </row>
    <row r="3" spans="1:31" ht="193.5" customHeight="1" x14ac:dyDescent="0.25">
      <c r="A3" s="118" t="s">
        <v>1791</v>
      </c>
      <c r="B3" s="42" t="s">
        <v>1792</v>
      </c>
      <c r="C3" s="42" t="s">
        <v>1793</v>
      </c>
      <c r="D3" s="42" t="s">
        <v>368</v>
      </c>
      <c r="E3" s="42" t="s">
        <v>369</v>
      </c>
      <c r="F3" s="43" t="s">
        <v>1795</v>
      </c>
      <c r="G3" s="43" t="s">
        <v>1796</v>
      </c>
      <c r="H3" s="44" t="s">
        <v>1609</v>
      </c>
      <c r="I3" s="44" t="s">
        <v>2412</v>
      </c>
      <c r="J3" s="42" t="s">
        <v>1794</v>
      </c>
      <c r="K3" s="44" t="s">
        <v>1934</v>
      </c>
      <c r="L3" s="43" t="s">
        <v>1797</v>
      </c>
      <c r="M3" s="129" t="s">
        <v>1610</v>
      </c>
      <c r="N3" s="133" t="s">
        <v>2034</v>
      </c>
      <c r="O3" s="134" t="s">
        <v>2024</v>
      </c>
      <c r="P3" s="134" t="s">
        <v>2025</v>
      </c>
      <c r="Q3" s="135" t="s">
        <v>1612</v>
      </c>
      <c r="R3" s="139" t="s">
        <v>2399</v>
      </c>
      <c r="S3" s="139" t="s">
        <v>2400</v>
      </c>
      <c r="T3" s="139" t="s">
        <v>2401</v>
      </c>
      <c r="U3" s="139" t="s">
        <v>2402</v>
      </c>
      <c r="V3" s="42" t="s">
        <v>2403</v>
      </c>
      <c r="W3" s="194" t="s">
        <v>2819</v>
      </c>
      <c r="X3" s="194" t="s">
        <v>2820</v>
      </c>
      <c r="Y3" s="135" t="s">
        <v>2030</v>
      </c>
      <c r="Z3" s="239" t="s">
        <v>2814</v>
      </c>
      <c r="AA3" s="44" t="s">
        <v>2815</v>
      </c>
      <c r="AB3" s="44" t="s">
        <v>2816</v>
      </c>
      <c r="AC3" s="256" t="s">
        <v>2821</v>
      </c>
      <c r="AD3" s="44" t="s">
        <v>2822</v>
      </c>
      <c r="AE3" s="240" t="s">
        <v>2823</v>
      </c>
    </row>
    <row r="4" spans="1:31" ht="30.75" customHeight="1" x14ac:dyDescent="0.25">
      <c r="A4" s="235"/>
      <c r="B4" s="100"/>
      <c r="C4" s="100"/>
      <c r="D4" s="97" t="s">
        <v>3763</v>
      </c>
      <c r="E4" s="100"/>
      <c r="F4" s="99" t="str">
        <f>IFERROR(VLOOKUP(E4,'Szakképesítések 21.01.08. PK-k'!$B$2:$I$364,7,0),"")</f>
        <v/>
      </c>
      <c r="G4" s="99" t="str">
        <f>IFERROR(VLOOKUP(E4,'Szakképesítések 21.01.08. PK-k'!$B$2:$I$364,8,0),"")</f>
        <v/>
      </c>
      <c r="H4" s="101"/>
      <c r="I4" s="101"/>
      <c r="J4" s="102"/>
      <c r="K4" s="102"/>
      <c r="L4" s="96" t="str">
        <f>IFERROR(VLOOKUP(E4,'Szakképesítések 21.01.08. PK-k'!$B$2:$G$364,6,0),"")</f>
        <v/>
      </c>
      <c r="M4" s="130" t="str">
        <f>IFERROR(VLOOKUP(E4,'Szakképesítések 21.01.08. PK-k'!$B$2:$C$364,2,0),"")</f>
        <v/>
      </c>
      <c r="N4" s="136" t="str">
        <f>IFERROR(VLOOKUP(E4,'Szakképesítések 21.01.08. PK-k'!$B$2:$K$364,10,0),"")</f>
        <v/>
      </c>
      <c r="O4" s="195" t="str">
        <f>IF(I4="","",(N4*I4/H4))</f>
        <v/>
      </c>
      <c r="P4" s="98" t="str">
        <f>IFERROR((J4+K4)*O4,"")</f>
        <v/>
      </c>
      <c r="Q4" s="120" t="str">
        <f>IFERROR((J4*O4*'Támogatás szorzat tényezői'!$C$7)+(K4*O4*'Támogatás szorzat tényezői'!$C$7*'Támogatás szorzat tényezői'!$C$8),"")</f>
        <v/>
      </c>
      <c r="R4" s="126"/>
      <c r="S4" s="98"/>
      <c r="T4" s="98"/>
      <c r="U4" s="98"/>
      <c r="V4" s="98"/>
      <c r="W4" s="98" t="str">
        <f>IF(T4="","",N4*T4)</f>
        <v/>
      </c>
      <c r="X4" s="98" t="str">
        <f>IF(T4="","",N4*('Támogatás szorzat tényezői'!$C$6/'Támogatás szorzat tényezői'!$C$4)*U4)</f>
        <v/>
      </c>
      <c r="Y4" s="120" t="str">
        <f>IFERROR(W4+X4,"")</f>
        <v/>
      </c>
      <c r="Z4" s="243" t="str">
        <f>IF(OR(H4="",I4=""),"",IF(I4&gt;H4,"Az ''I'' és/vagy a ''H'' oszlop értéke hibás! Kérjük balról jobbra haladva adja meg a helyes értékeket.",""))</f>
        <v/>
      </c>
      <c r="AA4" s="5" t="str">
        <f>IF(OR(J4="",R4=""),"",IF(J4&gt;R4,"A ''J'' és/vagy az ''R'' oszlop értéke hibás! Kérjük balról jobbra haladva adja meg a helyes értékeket.",""))</f>
        <v/>
      </c>
      <c r="AB4" s="5" t="str">
        <f>IF(OR(S4="",R4=""),"",IF(S4&gt;R4,"Az ''R'' és/vagy az ''S'' oszlop értéke hibás! Kérjük balról jobbra haladva adja meg a helyes értékeket.",""))</f>
        <v/>
      </c>
      <c r="AC4" s="5" t="str">
        <f>IF(OR(S4="",T4=""),"",IF(T4&gt;S4,"Az ''S'' és/vagy a ''T'' oszlop értéke hibás! Kérjük balról jobbra haladva adja meg a helyes értékeket.",""))</f>
        <v/>
      </c>
      <c r="AD4" s="5" t="str">
        <f>IF(OR(S4="",T4="",U4=""),"",IF(U4&gt;S4-T4,"Az ''S'' és/vagy a ''T'' és/vagy az ''U'' oszlop értéke hibás! Kérjük balról jobbra haladva adja meg a helyes értékeket.",""))</f>
        <v/>
      </c>
      <c r="AE4" s="244" t="str">
        <f>IF(OR(I4="",V4=""),"",IF(V4&gt;I4,"Az ''I'' és/vagy a ''V'' oszlop értéke hibás! Kérjük balról jobbra haladva adja meg a helyes értékeket.",""))</f>
        <v/>
      </c>
    </row>
    <row r="5" spans="1:31" ht="30.75" customHeight="1" x14ac:dyDescent="0.25">
      <c r="A5" s="235"/>
      <c r="B5" s="100"/>
      <c r="C5" s="100"/>
      <c r="D5" s="97" t="s">
        <v>3763</v>
      </c>
      <c r="E5" s="100"/>
      <c r="F5" s="99" t="str">
        <f>IFERROR(VLOOKUP(E5,'Szakképesítések 21.01.08. PK-k'!$B$2:$I$364,7,0),"")</f>
        <v/>
      </c>
      <c r="G5" s="99" t="str">
        <f>IFERROR(VLOOKUP(E5,'Szakképesítések 21.01.08. PK-k'!$B$2:$I$364,8,0),"")</f>
        <v/>
      </c>
      <c r="H5" s="101"/>
      <c r="I5" s="101"/>
      <c r="J5" s="102"/>
      <c r="K5" s="102"/>
      <c r="L5" s="96" t="str">
        <f>IFERROR(VLOOKUP(E5,'Szakképesítések 21.01.08. PK-k'!$B$2:$G$364,6,0),"")</f>
        <v/>
      </c>
      <c r="M5" s="130" t="str">
        <f>IFERROR(VLOOKUP(E5,'Szakképesítések 21.01.08. PK-k'!$B$2:$C$364,2,0),"")</f>
        <v/>
      </c>
      <c r="N5" s="136" t="str">
        <f>IFERROR(VLOOKUP(E5,'Szakképesítések 21.01.08. PK-k'!$B$2:$K$364,10,0),"")</f>
        <v/>
      </c>
      <c r="O5" s="195" t="str">
        <f t="shared" ref="O5:O53" si="1">IF(I5="","",(N5*I5/H5))</f>
        <v/>
      </c>
      <c r="P5" s="98" t="str">
        <f t="shared" ref="P5:P13" si="2">IFERROR((J5+K5)*N5,"")</f>
        <v/>
      </c>
      <c r="Q5" s="120" t="str">
        <f t="shared" ref="Q5:Q13" si="3">IFERROR((J5*N5)+(K5*0.5*N5),"")</f>
        <v/>
      </c>
      <c r="R5" s="126"/>
      <c r="S5" s="98"/>
      <c r="T5" s="98"/>
      <c r="U5" s="98"/>
      <c r="V5" s="98"/>
      <c r="W5" s="98" t="str">
        <f t="shared" ref="W5:W53" si="4">IF(T5="","",N5*T5)</f>
        <v/>
      </c>
      <c r="X5" s="98" t="str">
        <f>IF(T5="","",N5*('Támogatás szorzat tényezői'!$C$6/'Támogatás szorzat tényezői'!$C$4)*U5)</f>
        <v/>
      </c>
      <c r="Y5" s="120" t="str">
        <f t="shared" ref="Y5:Y53" si="5">IFERROR(W5+X5,"")</f>
        <v/>
      </c>
      <c r="Z5" s="242"/>
      <c r="AA5" s="6"/>
      <c r="AB5" s="6"/>
      <c r="AC5" s="6"/>
      <c r="AD5" s="6"/>
      <c r="AE5" s="241"/>
    </row>
    <row r="6" spans="1:31" ht="30.75" customHeight="1" x14ac:dyDescent="0.25">
      <c r="A6" s="235"/>
      <c r="B6" s="100"/>
      <c r="C6" s="100"/>
      <c r="D6" s="97" t="s">
        <v>3763</v>
      </c>
      <c r="E6" s="100"/>
      <c r="F6" s="99" t="str">
        <f>IFERROR(VLOOKUP(E6,'Szakképesítések 21.01.08. PK-k'!$B$2:$I$364,7,0),"")</f>
        <v/>
      </c>
      <c r="G6" s="99" t="str">
        <f>IFERROR(VLOOKUP(E6,'Szakképesítések 21.01.08. PK-k'!$B$2:$I$364,8,0),"")</f>
        <v/>
      </c>
      <c r="H6" s="101"/>
      <c r="I6" s="101"/>
      <c r="J6" s="102"/>
      <c r="K6" s="102"/>
      <c r="L6" s="96" t="str">
        <f>IFERROR(VLOOKUP(E6,'Szakképesítések 21.01.08. PK-k'!$B$2:$G$364,6,0),"")</f>
        <v/>
      </c>
      <c r="M6" s="130" t="str">
        <f>IFERROR(VLOOKUP(E6,'Szakképesítések 21.01.08. PK-k'!$B$2:$C$364,2,0),"")</f>
        <v/>
      </c>
      <c r="N6" s="136" t="str">
        <f>IFERROR(VLOOKUP(E6,'Szakképesítések 21.01.08. PK-k'!$B$2:$K$364,10,0),"")</f>
        <v/>
      </c>
      <c r="O6" s="195" t="str">
        <f t="shared" si="1"/>
        <v/>
      </c>
      <c r="P6" s="98" t="str">
        <f t="shared" si="2"/>
        <v/>
      </c>
      <c r="Q6" s="120" t="str">
        <f t="shared" si="3"/>
        <v/>
      </c>
      <c r="R6" s="126"/>
      <c r="S6" s="98"/>
      <c r="T6" s="98"/>
      <c r="U6" s="98"/>
      <c r="V6" s="98"/>
      <c r="W6" s="98" t="str">
        <f t="shared" si="4"/>
        <v/>
      </c>
      <c r="X6" s="98" t="str">
        <f>IF(T6="","",N6*('Támogatás szorzat tényezői'!$C$6/'Támogatás szorzat tényezői'!$C$4)*U6)</f>
        <v/>
      </c>
      <c r="Y6" s="120" t="str">
        <f t="shared" si="5"/>
        <v/>
      </c>
      <c r="Z6" s="242"/>
      <c r="AA6" s="6"/>
      <c r="AB6" s="6"/>
      <c r="AC6" s="6"/>
      <c r="AD6" s="6"/>
      <c r="AE6" s="241"/>
    </row>
    <row r="7" spans="1:31" ht="30.75" customHeight="1" x14ac:dyDescent="0.25">
      <c r="A7" s="235"/>
      <c r="B7" s="100"/>
      <c r="C7" s="100"/>
      <c r="D7" s="97" t="s">
        <v>3763</v>
      </c>
      <c r="E7" s="100"/>
      <c r="F7" s="99" t="str">
        <f>IFERROR(VLOOKUP(E7,'Szakképesítések 21.01.08. PK-k'!$B$2:$I$364,7,0),"")</f>
        <v/>
      </c>
      <c r="G7" s="99" t="str">
        <f>IFERROR(VLOOKUP(E7,'Szakképesítések 21.01.08. PK-k'!$B$2:$I$364,8,0),"")</f>
        <v/>
      </c>
      <c r="H7" s="101"/>
      <c r="I7" s="101"/>
      <c r="J7" s="102"/>
      <c r="K7" s="102"/>
      <c r="L7" s="96" t="str">
        <f>IFERROR(VLOOKUP(E7,'Szakképesítések 21.01.08. PK-k'!$B$2:$G$364,6,0),"")</f>
        <v/>
      </c>
      <c r="M7" s="130" t="str">
        <f>IFERROR(VLOOKUP(E7,'Szakképesítések 21.01.08. PK-k'!$B$2:$C$364,2,0),"")</f>
        <v/>
      </c>
      <c r="N7" s="136" t="str">
        <f>IFERROR(VLOOKUP(E7,'Szakképesítések 21.01.08. PK-k'!$B$2:$K$364,10,0),"")</f>
        <v/>
      </c>
      <c r="O7" s="195" t="str">
        <f t="shared" si="1"/>
        <v/>
      </c>
      <c r="P7" s="98" t="str">
        <f t="shared" si="2"/>
        <v/>
      </c>
      <c r="Q7" s="120" t="str">
        <f t="shared" si="3"/>
        <v/>
      </c>
      <c r="R7" s="126"/>
      <c r="S7" s="98"/>
      <c r="T7" s="98"/>
      <c r="U7" s="98"/>
      <c r="V7" s="98"/>
      <c r="W7" s="98" t="str">
        <f t="shared" si="4"/>
        <v/>
      </c>
      <c r="X7" s="98" t="str">
        <f>IF(T7="","",N7*('Támogatás szorzat tényezői'!$C$6/'Támogatás szorzat tényezői'!$C$4)*U7)</f>
        <v/>
      </c>
      <c r="Y7" s="120" t="str">
        <f t="shared" si="5"/>
        <v/>
      </c>
      <c r="Z7" s="242"/>
      <c r="AA7" s="6"/>
      <c r="AB7" s="6"/>
      <c r="AC7" s="6"/>
      <c r="AD7" s="6"/>
      <c r="AE7" s="241"/>
    </row>
    <row r="8" spans="1:31" ht="30.75" customHeight="1" x14ac:dyDescent="0.25">
      <c r="A8" s="235"/>
      <c r="B8" s="100"/>
      <c r="C8" s="100"/>
      <c r="D8" s="97" t="s">
        <v>3763</v>
      </c>
      <c r="E8" s="100"/>
      <c r="F8" s="99" t="str">
        <f>IFERROR(VLOOKUP(E8,'Szakképesítések 21.01.08. PK-k'!$B$2:$I$364,7,0),"")</f>
        <v/>
      </c>
      <c r="G8" s="99" t="str">
        <f>IFERROR(VLOOKUP(E8,'Szakképesítések 21.01.08. PK-k'!$B$2:$I$364,8,0),"")</f>
        <v/>
      </c>
      <c r="H8" s="101"/>
      <c r="I8" s="101"/>
      <c r="J8" s="102"/>
      <c r="K8" s="102"/>
      <c r="L8" s="96" t="str">
        <f>IFERROR(VLOOKUP(E8,'Szakképesítések 21.01.08. PK-k'!$B$2:$G$364,6,0),"")</f>
        <v/>
      </c>
      <c r="M8" s="130" t="str">
        <f>IFERROR(VLOOKUP(E8,'Szakképesítések 21.01.08. PK-k'!$B$2:$C$364,2,0),"")</f>
        <v/>
      </c>
      <c r="N8" s="136" t="str">
        <f>IFERROR(VLOOKUP(E8,'Szakképesítések 21.01.08. PK-k'!$B$2:$K$364,10,0),"")</f>
        <v/>
      </c>
      <c r="O8" s="195" t="str">
        <f t="shared" si="1"/>
        <v/>
      </c>
      <c r="P8" s="98" t="str">
        <f t="shared" si="2"/>
        <v/>
      </c>
      <c r="Q8" s="120" t="str">
        <f t="shared" si="3"/>
        <v/>
      </c>
      <c r="R8" s="126"/>
      <c r="S8" s="98"/>
      <c r="T8" s="98"/>
      <c r="U8" s="98"/>
      <c r="V8" s="98"/>
      <c r="W8" s="98" t="str">
        <f t="shared" si="4"/>
        <v/>
      </c>
      <c r="X8" s="98" t="str">
        <f>IF(T8="","",N8*('Támogatás szorzat tényezői'!$C$6/'Támogatás szorzat tényezői'!$C$4)*U8)</f>
        <v/>
      </c>
      <c r="Y8" s="120" t="str">
        <f t="shared" si="5"/>
        <v/>
      </c>
      <c r="Z8" s="242"/>
      <c r="AA8" s="6"/>
      <c r="AB8" s="6"/>
      <c r="AC8" s="6"/>
      <c r="AD8" s="6"/>
      <c r="AE8" s="241"/>
    </row>
    <row r="9" spans="1:31" ht="30.75" customHeight="1" x14ac:dyDescent="0.25">
      <c r="A9" s="235"/>
      <c r="B9" s="100"/>
      <c r="C9" s="100"/>
      <c r="D9" s="97" t="s">
        <v>3763</v>
      </c>
      <c r="E9" s="100"/>
      <c r="F9" s="99" t="str">
        <f>IFERROR(VLOOKUP(E9,'Szakképesítések 21.01.08. PK-k'!$B$2:$I$364,7,0),"")</f>
        <v/>
      </c>
      <c r="G9" s="99" t="str">
        <f>IFERROR(VLOOKUP(E9,'Szakképesítések 21.01.08. PK-k'!$B$2:$I$364,8,0),"")</f>
        <v/>
      </c>
      <c r="H9" s="101"/>
      <c r="I9" s="101"/>
      <c r="J9" s="102"/>
      <c r="K9" s="102"/>
      <c r="L9" s="96" t="str">
        <f>IFERROR(VLOOKUP(E9,'Szakképesítések 21.01.08. PK-k'!$B$2:$G$364,6,0),"")</f>
        <v/>
      </c>
      <c r="M9" s="130" t="str">
        <f>IFERROR(VLOOKUP(E9,'Szakképesítések 21.01.08. PK-k'!$B$2:$C$364,2,0),"")</f>
        <v/>
      </c>
      <c r="N9" s="136" t="str">
        <f>IFERROR(VLOOKUP(E9,'Szakképesítések 21.01.08. PK-k'!$B$2:$K$364,10,0),"")</f>
        <v/>
      </c>
      <c r="O9" s="195" t="str">
        <f t="shared" si="1"/>
        <v/>
      </c>
      <c r="P9" s="98" t="str">
        <f t="shared" si="2"/>
        <v/>
      </c>
      <c r="Q9" s="120" t="str">
        <f t="shared" si="3"/>
        <v/>
      </c>
      <c r="R9" s="126"/>
      <c r="S9" s="98"/>
      <c r="T9" s="98"/>
      <c r="U9" s="98"/>
      <c r="V9" s="98"/>
      <c r="W9" s="98" t="str">
        <f t="shared" si="4"/>
        <v/>
      </c>
      <c r="X9" s="98" t="str">
        <f>IF(T9="","",N9*('Támogatás szorzat tényezői'!$C$6/'Támogatás szorzat tényezői'!$C$4)*U9)</f>
        <v/>
      </c>
      <c r="Y9" s="120" t="str">
        <f t="shared" si="5"/>
        <v/>
      </c>
      <c r="Z9" s="242"/>
      <c r="AA9" s="6"/>
      <c r="AB9" s="6"/>
      <c r="AC9" s="6"/>
      <c r="AD9" s="6"/>
      <c r="AE9" s="241"/>
    </row>
    <row r="10" spans="1:31" ht="30.75" customHeight="1" x14ac:dyDescent="0.25">
      <c r="A10" s="235"/>
      <c r="B10" s="100"/>
      <c r="C10" s="100"/>
      <c r="D10" s="97" t="s">
        <v>3763</v>
      </c>
      <c r="E10" s="100"/>
      <c r="F10" s="99" t="str">
        <f>IFERROR(VLOOKUP(E10,'Szakképesítések 21.01.08. PK-k'!$B$2:$I$364,7,0),"")</f>
        <v/>
      </c>
      <c r="G10" s="99" t="str">
        <f>IFERROR(VLOOKUP(E10,'Szakképesítések 21.01.08. PK-k'!$B$2:$I$364,8,0),"")</f>
        <v/>
      </c>
      <c r="H10" s="101"/>
      <c r="I10" s="101"/>
      <c r="J10" s="102"/>
      <c r="K10" s="102"/>
      <c r="L10" s="96" t="str">
        <f>IFERROR(VLOOKUP(E10,'Szakképesítések 21.01.08. PK-k'!$B$2:$G$364,6,0),"")</f>
        <v/>
      </c>
      <c r="M10" s="130" t="str">
        <f>IFERROR(VLOOKUP(E10,'Szakképesítések 21.01.08. PK-k'!$B$2:$C$364,2,0),"")</f>
        <v/>
      </c>
      <c r="N10" s="136" t="str">
        <f>IFERROR(VLOOKUP(E10,'Szakképesítések 21.01.08. PK-k'!$B$2:$K$364,10,0),"")</f>
        <v/>
      </c>
      <c r="O10" s="195" t="str">
        <f t="shared" si="1"/>
        <v/>
      </c>
      <c r="P10" s="98" t="str">
        <f t="shared" si="2"/>
        <v/>
      </c>
      <c r="Q10" s="120" t="str">
        <f t="shared" si="3"/>
        <v/>
      </c>
      <c r="R10" s="126"/>
      <c r="S10" s="98"/>
      <c r="T10" s="98"/>
      <c r="U10" s="98"/>
      <c r="V10" s="98"/>
      <c r="W10" s="98" t="str">
        <f t="shared" si="4"/>
        <v/>
      </c>
      <c r="X10" s="98" t="str">
        <f>IF(T10="","",N10*('Támogatás szorzat tényezői'!$C$6/'Támogatás szorzat tényezői'!$C$4)*U10)</f>
        <v/>
      </c>
      <c r="Y10" s="120" t="str">
        <f t="shared" si="5"/>
        <v/>
      </c>
      <c r="Z10" s="242"/>
      <c r="AA10" s="6"/>
      <c r="AB10" s="6"/>
      <c r="AC10" s="6"/>
      <c r="AD10" s="6"/>
      <c r="AE10" s="241"/>
    </row>
    <row r="11" spans="1:31" ht="30.75" customHeight="1" x14ac:dyDescent="0.25">
      <c r="A11" s="235"/>
      <c r="B11" s="100"/>
      <c r="C11" s="100"/>
      <c r="D11" s="97" t="s">
        <v>3763</v>
      </c>
      <c r="E11" s="100"/>
      <c r="F11" s="99" t="str">
        <f>IFERROR(VLOOKUP(E11,'Szakképesítések 21.01.08. PK-k'!$B$2:$I$364,7,0),"")</f>
        <v/>
      </c>
      <c r="G11" s="99" t="str">
        <f>IFERROR(VLOOKUP(E11,'Szakképesítések 21.01.08. PK-k'!$B$2:$I$364,8,0),"")</f>
        <v/>
      </c>
      <c r="H11" s="101"/>
      <c r="I11" s="101"/>
      <c r="J11" s="102"/>
      <c r="K11" s="102"/>
      <c r="L11" s="96" t="str">
        <f>IFERROR(VLOOKUP(E11,'Szakképesítések 21.01.08. PK-k'!$B$2:$G$364,6,0),"")</f>
        <v/>
      </c>
      <c r="M11" s="130" t="str">
        <f>IFERROR(VLOOKUP(E11,'Szakképesítések 21.01.08. PK-k'!$B$2:$C$364,2,0),"")</f>
        <v/>
      </c>
      <c r="N11" s="136" t="str">
        <f>IFERROR(VLOOKUP(E11,'Szakképesítések 21.01.08. PK-k'!$B$2:$K$364,10,0),"")</f>
        <v/>
      </c>
      <c r="O11" s="195" t="str">
        <f t="shared" si="1"/>
        <v/>
      </c>
      <c r="P11" s="98" t="str">
        <f t="shared" si="2"/>
        <v/>
      </c>
      <c r="Q11" s="120" t="str">
        <f t="shared" si="3"/>
        <v/>
      </c>
      <c r="R11" s="126"/>
      <c r="S11" s="98"/>
      <c r="T11" s="98"/>
      <c r="U11" s="98"/>
      <c r="V11" s="98"/>
      <c r="W11" s="98" t="str">
        <f t="shared" si="4"/>
        <v/>
      </c>
      <c r="X11" s="98" t="str">
        <f>IF(T11="","",N11*('Támogatás szorzat tényezői'!$C$6/'Támogatás szorzat tényezői'!$C$4)*U11)</f>
        <v/>
      </c>
      <c r="Y11" s="120" t="str">
        <f t="shared" si="5"/>
        <v/>
      </c>
      <c r="Z11" s="242"/>
      <c r="AA11" s="6"/>
      <c r="AB11" s="6"/>
      <c r="AC11" s="6"/>
      <c r="AD11" s="6"/>
      <c r="AE11" s="241"/>
    </row>
    <row r="12" spans="1:31" ht="30.75" customHeight="1" x14ac:dyDescent="0.25">
      <c r="A12" s="235"/>
      <c r="B12" s="100"/>
      <c r="C12" s="100"/>
      <c r="D12" s="97" t="s">
        <v>3763</v>
      </c>
      <c r="E12" s="100"/>
      <c r="F12" s="99" t="str">
        <f>IFERROR(VLOOKUP(E12,'Szakképesítések 21.01.08. PK-k'!$B$2:$I$364,7,0),"")</f>
        <v/>
      </c>
      <c r="G12" s="99" t="str">
        <f>IFERROR(VLOOKUP(E12,'Szakképesítések 21.01.08. PK-k'!$B$2:$I$364,8,0),"")</f>
        <v/>
      </c>
      <c r="H12" s="101"/>
      <c r="I12" s="101"/>
      <c r="J12" s="102"/>
      <c r="K12" s="102"/>
      <c r="L12" s="96" t="str">
        <f>IFERROR(VLOOKUP(E12,'Szakképesítések 21.01.08. PK-k'!$B$2:$G$364,6,0),"")</f>
        <v/>
      </c>
      <c r="M12" s="130" t="str">
        <f>IFERROR(VLOOKUP(E12,'Szakképesítések 21.01.08. PK-k'!$B$2:$C$364,2,0),"")</f>
        <v/>
      </c>
      <c r="N12" s="136" t="str">
        <f>IFERROR(VLOOKUP(E12,'Szakképesítések 21.01.08. PK-k'!$B$2:$K$364,10,0),"")</f>
        <v/>
      </c>
      <c r="O12" s="195" t="str">
        <f t="shared" si="1"/>
        <v/>
      </c>
      <c r="P12" s="98" t="str">
        <f t="shared" si="2"/>
        <v/>
      </c>
      <c r="Q12" s="120" t="str">
        <f t="shared" si="3"/>
        <v/>
      </c>
      <c r="R12" s="126"/>
      <c r="S12" s="98"/>
      <c r="T12" s="98"/>
      <c r="U12" s="98"/>
      <c r="V12" s="98"/>
      <c r="W12" s="98" t="str">
        <f t="shared" si="4"/>
        <v/>
      </c>
      <c r="X12" s="98" t="str">
        <f>IF(T12="","",N12*('Támogatás szorzat tényezői'!$C$6/'Támogatás szorzat tényezői'!$C$4)*U12)</f>
        <v/>
      </c>
      <c r="Y12" s="120" t="str">
        <f t="shared" si="5"/>
        <v/>
      </c>
      <c r="Z12" s="242"/>
      <c r="AA12" s="6"/>
      <c r="AB12" s="6"/>
      <c r="AC12" s="6"/>
      <c r="AD12" s="6"/>
      <c r="AE12" s="241"/>
    </row>
    <row r="13" spans="1:31" ht="30.75" customHeight="1" x14ac:dyDescent="0.25">
      <c r="A13" s="235"/>
      <c r="B13" s="100"/>
      <c r="C13" s="100"/>
      <c r="D13" s="97" t="s">
        <v>3763</v>
      </c>
      <c r="E13" s="100"/>
      <c r="F13" s="99" t="str">
        <f>IFERROR(VLOOKUP(E13,'Szakképesítések 21.01.08. PK-k'!$B$2:$I$364,7,0),"")</f>
        <v/>
      </c>
      <c r="G13" s="99" t="str">
        <f>IFERROR(VLOOKUP(E13,'Szakképesítések 21.01.08. PK-k'!$B$2:$I$364,8,0),"")</f>
        <v/>
      </c>
      <c r="H13" s="101"/>
      <c r="I13" s="101"/>
      <c r="J13" s="102"/>
      <c r="K13" s="102"/>
      <c r="L13" s="96" t="str">
        <f>IFERROR(VLOOKUP(E13,'Szakképesítések 21.01.08. PK-k'!$B$2:$G$364,6,0),"")</f>
        <v/>
      </c>
      <c r="M13" s="130" t="str">
        <f>IFERROR(VLOOKUP(E13,'Szakképesítések 21.01.08. PK-k'!$B$2:$C$364,2,0),"")</f>
        <v/>
      </c>
      <c r="N13" s="136" t="str">
        <f>IFERROR(VLOOKUP(E13,'Szakképesítések 21.01.08. PK-k'!$B$2:$K$364,10,0),"")</f>
        <v/>
      </c>
      <c r="O13" s="195" t="str">
        <f t="shared" si="1"/>
        <v/>
      </c>
      <c r="P13" s="98" t="str">
        <f t="shared" si="2"/>
        <v/>
      </c>
      <c r="Q13" s="120" t="str">
        <f t="shared" si="3"/>
        <v/>
      </c>
      <c r="R13" s="126"/>
      <c r="S13" s="98"/>
      <c r="T13" s="98"/>
      <c r="U13" s="98"/>
      <c r="V13" s="98"/>
      <c r="W13" s="98" t="str">
        <f t="shared" si="4"/>
        <v/>
      </c>
      <c r="X13" s="98" t="str">
        <f>IF(T13="","",N13*('Támogatás szorzat tényezői'!$C$6/'Támogatás szorzat tényezői'!$C$4)*U13)</f>
        <v/>
      </c>
      <c r="Y13" s="120" t="str">
        <f t="shared" si="5"/>
        <v/>
      </c>
      <c r="Z13" s="242"/>
      <c r="AA13" s="6"/>
      <c r="AB13" s="6"/>
      <c r="AC13" s="6"/>
      <c r="AD13" s="6"/>
      <c r="AE13" s="241"/>
    </row>
    <row r="14" spans="1:31" ht="30.75" customHeight="1" x14ac:dyDescent="0.25">
      <c r="A14" s="235"/>
      <c r="B14" s="100"/>
      <c r="C14" s="100"/>
      <c r="D14" s="97" t="s">
        <v>3763</v>
      </c>
      <c r="E14" s="100"/>
      <c r="F14" s="99" t="str">
        <f>IFERROR(VLOOKUP(E14,'Szakképesítések 21.01.08. PK-k'!$B$2:$I$364,7,0),"")</f>
        <v/>
      </c>
      <c r="G14" s="99" t="str">
        <f>IFERROR(VLOOKUP(E14,'Szakképesítések 21.01.08. PK-k'!$B$2:$I$364,8,0),"")</f>
        <v/>
      </c>
      <c r="H14" s="101"/>
      <c r="I14" s="101"/>
      <c r="J14" s="102"/>
      <c r="K14" s="102"/>
      <c r="L14" s="96" t="str">
        <f>IFERROR(VLOOKUP(E14,'Szakképesítések 21.01.08. PK-k'!$B$2:$G$364,6,0),"")</f>
        <v/>
      </c>
      <c r="M14" s="130" t="str">
        <f>IFERROR(VLOOKUP(E14,'Szakképesítések 21.01.08. PK-k'!$B$2:$C$364,2,0),"")</f>
        <v/>
      </c>
      <c r="N14" s="136" t="str">
        <f>IFERROR(VLOOKUP(E14,'Szakképesítések 21.01.08. PK-k'!$B$2:$K$364,10,0),"")</f>
        <v/>
      </c>
      <c r="O14" s="195" t="str">
        <f t="shared" si="1"/>
        <v/>
      </c>
      <c r="P14" s="98" t="str">
        <f t="shared" ref="P14:P19" si="6">IFERROR((J14+K14)*N14,"")</f>
        <v/>
      </c>
      <c r="Q14" s="120" t="str">
        <f t="shared" ref="Q14:Q19" si="7">IFERROR((J14*N14)+(K14*0.5*N14),"")</f>
        <v/>
      </c>
      <c r="R14" s="126"/>
      <c r="S14" s="98"/>
      <c r="T14" s="98"/>
      <c r="U14" s="98"/>
      <c r="V14" s="98"/>
      <c r="W14" s="98" t="str">
        <f t="shared" si="4"/>
        <v/>
      </c>
      <c r="X14" s="98" t="str">
        <f>IF(T14="","",N14*('Támogatás szorzat tényezői'!$C$6/'Támogatás szorzat tényezői'!$C$4)*U14)</f>
        <v/>
      </c>
      <c r="Y14" s="120" t="str">
        <f t="shared" si="5"/>
        <v/>
      </c>
      <c r="Z14" s="242"/>
      <c r="AA14" s="6"/>
      <c r="AB14" s="6"/>
      <c r="AC14" s="6"/>
      <c r="AD14" s="6"/>
      <c r="AE14" s="241"/>
    </row>
    <row r="15" spans="1:31" ht="30.75" customHeight="1" x14ac:dyDescent="0.25">
      <c r="A15" s="235"/>
      <c r="B15" s="100"/>
      <c r="C15" s="100"/>
      <c r="D15" s="97" t="s">
        <v>3763</v>
      </c>
      <c r="E15" s="100"/>
      <c r="F15" s="99" t="str">
        <f>IFERROR(VLOOKUP(E15,'Szakképesítések 21.01.08. PK-k'!$B$2:$I$364,7,0),"")</f>
        <v/>
      </c>
      <c r="G15" s="99" t="str">
        <f>IFERROR(VLOOKUP(E15,'Szakképesítések 21.01.08. PK-k'!$B$2:$I$364,8,0),"")</f>
        <v/>
      </c>
      <c r="H15" s="101"/>
      <c r="I15" s="101"/>
      <c r="J15" s="102"/>
      <c r="K15" s="102"/>
      <c r="L15" s="96" t="str">
        <f>IFERROR(VLOOKUP(E15,'Szakképesítések 21.01.08. PK-k'!$B$2:$G$364,6,0),"")</f>
        <v/>
      </c>
      <c r="M15" s="130" t="str">
        <f>IFERROR(VLOOKUP(E15,'Szakképesítések 21.01.08. PK-k'!$B$2:$C$364,2,0),"")</f>
        <v/>
      </c>
      <c r="N15" s="136" t="str">
        <f>IFERROR(VLOOKUP(E15,'Szakképesítések 21.01.08. PK-k'!$B$2:$K$364,10,0),"")</f>
        <v/>
      </c>
      <c r="O15" s="195" t="str">
        <f t="shared" si="1"/>
        <v/>
      </c>
      <c r="P15" s="98" t="str">
        <f t="shared" si="6"/>
        <v/>
      </c>
      <c r="Q15" s="120" t="str">
        <f t="shared" si="7"/>
        <v/>
      </c>
      <c r="R15" s="126"/>
      <c r="S15" s="98"/>
      <c r="T15" s="98"/>
      <c r="U15" s="98"/>
      <c r="V15" s="98"/>
      <c r="W15" s="98" t="str">
        <f t="shared" si="4"/>
        <v/>
      </c>
      <c r="X15" s="98" t="str">
        <f>IF(T15="","",N15*('Támogatás szorzat tényezői'!$C$6/'Támogatás szorzat tényezői'!$C$4)*U15)</f>
        <v/>
      </c>
      <c r="Y15" s="120" t="str">
        <f t="shared" si="5"/>
        <v/>
      </c>
      <c r="Z15" s="242"/>
      <c r="AA15" s="6"/>
      <c r="AB15" s="6"/>
      <c r="AC15" s="6"/>
      <c r="AD15" s="6"/>
      <c r="AE15" s="241"/>
    </row>
    <row r="16" spans="1:31" ht="30.75" customHeight="1" x14ac:dyDescent="0.25">
      <c r="A16" s="235"/>
      <c r="B16" s="100"/>
      <c r="C16" s="100"/>
      <c r="D16" s="97" t="s">
        <v>3763</v>
      </c>
      <c r="E16" s="100"/>
      <c r="F16" s="99" t="str">
        <f>IFERROR(VLOOKUP(E16,'Szakképesítések 21.01.08. PK-k'!$B$2:$I$364,7,0),"")</f>
        <v/>
      </c>
      <c r="G16" s="99" t="str">
        <f>IFERROR(VLOOKUP(E16,'Szakképesítések 21.01.08. PK-k'!$B$2:$I$364,8,0),"")</f>
        <v/>
      </c>
      <c r="H16" s="101"/>
      <c r="I16" s="101"/>
      <c r="J16" s="102"/>
      <c r="K16" s="102"/>
      <c r="L16" s="96" t="str">
        <f>IFERROR(VLOOKUP(E16,'Szakképesítések 21.01.08. PK-k'!$B$2:$G$364,6,0),"")</f>
        <v/>
      </c>
      <c r="M16" s="130" t="str">
        <f>IFERROR(VLOOKUP(E16,'Szakképesítések 21.01.08. PK-k'!$B$2:$C$364,2,0),"")</f>
        <v/>
      </c>
      <c r="N16" s="136" t="str">
        <f>IFERROR(VLOOKUP(E16,'Szakképesítések 21.01.08. PK-k'!$B$2:$K$364,10,0),"")</f>
        <v/>
      </c>
      <c r="O16" s="195" t="str">
        <f t="shared" si="1"/>
        <v/>
      </c>
      <c r="P16" s="98" t="str">
        <f t="shared" si="6"/>
        <v/>
      </c>
      <c r="Q16" s="120" t="str">
        <f t="shared" si="7"/>
        <v/>
      </c>
      <c r="R16" s="126"/>
      <c r="S16" s="98"/>
      <c r="T16" s="98"/>
      <c r="U16" s="98"/>
      <c r="V16" s="98"/>
      <c r="W16" s="98" t="str">
        <f t="shared" si="4"/>
        <v/>
      </c>
      <c r="X16" s="98" t="str">
        <f>IF(T16="","",N16*('Támogatás szorzat tényezői'!$C$6/'Támogatás szorzat tényezői'!$C$4)*U16)</f>
        <v/>
      </c>
      <c r="Y16" s="120" t="str">
        <f t="shared" si="5"/>
        <v/>
      </c>
      <c r="Z16" s="242"/>
      <c r="AA16" s="6"/>
      <c r="AB16" s="6"/>
      <c r="AC16" s="6"/>
      <c r="AD16" s="6"/>
      <c r="AE16" s="241"/>
    </row>
    <row r="17" spans="1:31" ht="30.75" customHeight="1" x14ac:dyDescent="0.25">
      <c r="A17" s="235"/>
      <c r="B17" s="100"/>
      <c r="C17" s="100"/>
      <c r="D17" s="97" t="s">
        <v>3763</v>
      </c>
      <c r="E17" s="100"/>
      <c r="F17" s="99" t="str">
        <f>IFERROR(VLOOKUP(E17,'Szakképesítések 21.01.08. PK-k'!$B$2:$I$364,7,0),"")</f>
        <v/>
      </c>
      <c r="G17" s="99" t="str">
        <f>IFERROR(VLOOKUP(E17,'Szakképesítések 21.01.08. PK-k'!$B$2:$I$364,8,0),"")</f>
        <v/>
      </c>
      <c r="H17" s="101"/>
      <c r="I17" s="101"/>
      <c r="J17" s="102"/>
      <c r="K17" s="102"/>
      <c r="L17" s="96" t="str">
        <f>IFERROR(VLOOKUP(E17,'Szakképesítések 21.01.08. PK-k'!$B$2:$G$364,6,0),"")</f>
        <v/>
      </c>
      <c r="M17" s="130" t="str">
        <f>IFERROR(VLOOKUP(E17,'Szakképesítések 21.01.08. PK-k'!$B$2:$C$364,2,0),"")</f>
        <v/>
      </c>
      <c r="N17" s="136" t="str">
        <f>IFERROR(VLOOKUP(E17,'Szakképesítések 21.01.08. PK-k'!$B$2:$K$364,10,0),"")</f>
        <v/>
      </c>
      <c r="O17" s="195" t="str">
        <f t="shared" si="1"/>
        <v/>
      </c>
      <c r="P17" s="98" t="str">
        <f t="shared" si="6"/>
        <v/>
      </c>
      <c r="Q17" s="120" t="str">
        <f t="shared" si="7"/>
        <v/>
      </c>
      <c r="R17" s="126"/>
      <c r="S17" s="98"/>
      <c r="T17" s="98"/>
      <c r="U17" s="98"/>
      <c r="V17" s="98"/>
      <c r="W17" s="98" t="str">
        <f t="shared" si="4"/>
        <v/>
      </c>
      <c r="X17" s="98" t="str">
        <f>IF(T17="","",N17*('Támogatás szorzat tényezői'!$C$6/'Támogatás szorzat tényezői'!$C$4)*U17)</f>
        <v/>
      </c>
      <c r="Y17" s="120" t="str">
        <f t="shared" si="5"/>
        <v/>
      </c>
      <c r="Z17" s="242"/>
      <c r="AA17" s="6"/>
      <c r="AB17" s="6"/>
      <c r="AC17" s="6"/>
      <c r="AD17" s="6"/>
      <c r="AE17" s="241"/>
    </row>
    <row r="18" spans="1:31" ht="30.75" customHeight="1" x14ac:dyDescent="0.25">
      <c r="A18" s="235"/>
      <c r="B18" s="100"/>
      <c r="C18" s="100"/>
      <c r="D18" s="97" t="s">
        <v>3763</v>
      </c>
      <c r="E18" s="100"/>
      <c r="F18" s="99" t="str">
        <f>IFERROR(VLOOKUP(E18,'Szakképesítések 21.01.08. PK-k'!$B$2:$I$364,7,0),"")</f>
        <v/>
      </c>
      <c r="G18" s="99" t="str">
        <f>IFERROR(VLOOKUP(E18,'Szakképesítések 21.01.08. PK-k'!$B$2:$I$364,8,0),"")</f>
        <v/>
      </c>
      <c r="H18" s="101"/>
      <c r="I18" s="101"/>
      <c r="J18" s="102"/>
      <c r="K18" s="102"/>
      <c r="L18" s="96" t="str">
        <f>IFERROR(VLOOKUP(E18,'Szakképesítések 21.01.08. PK-k'!$B$2:$G$364,6,0),"")</f>
        <v/>
      </c>
      <c r="M18" s="130" t="str">
        <f>IFERROR(VLOOKUP(E18,'Szakképesítések 21.01.08. PK-k'!$B$2:$C$364,2,0),"")</f>
        <v/>
      </c>
      <c r="N18" s="136" t="str">
        <f>IFERROR(VLOOKUP(E18,'Szakképesítések 21.01.08. PK-k'!$B$2:$K$364,10,0),"")</f>
        <v/>
      </c>
      <c r="O18" s="195" t="str">
        <f t="shared" si="1"/>
        <v/>
      </c>
      <c r="P18" s="98" t="str">
        <f t="shared" si="6"/>
        <v/>
      </c>
      <c r="Q18" s="120" t="str">
        <f t="shared" si="7"/>
        <v/>
      </c>
      <c r="R18" s="126"/>
      <c r="S18" s="98"/>
      <c r="T18" s="98"/>
      <c r="U18" s="98"/>
      <c r="V18" s="98"/>
      <c r="W18" s="98" t="str">
        <f t="shared" si="4"/>
        <v/>
      </c>
      <c r="X18" s="98" t="str">
        <f>IF(T18="","",N18*('Támogatás szorzat tényezői'!$C$6/'Támogatás szorzat tényezői'!$C$4)*U18)</f>
        <v/>
      </c>
      <c r="Y18" s="120" t="str">
        <f t="shared" si="5"/>
        <v/>
      </c>
      <c r="Z18" s="242"/>
      <c r="AA18" s="6"/>
      <c r="AB18" s="6"/>
      <c r="AC18" s="6"/>
      <c r="AD18" s="6"/>
      <c r="AE18" s="241"/>
    </row>
    <row r="19" spans="1:31" ht="30.75" customHeight="1" x14ac:dyDescent="0.25">
      <c r="A19" s="235"/>
      <c r="B19" s="100"/>
      <c r="C19" s="100"/>
      <c r="D19" s="97" t="s">
        <v>3763</v>
      </c>
      <c r="E19" s="100"/>
      <c r="F19" s="99" t="str">
        <f>IFERROR(VLOOKUP(E19,'Szakképesítések 21.01.08. PK-k'!$B$2:$I$364,7,0),"")</f>
        <v/>
      </c>
      <c r="G19" s="99" t="str">
        <f>IFERROR(VLOOKUP(E19,'Szakképesítések 21.01.08. PK-k'!$B$2:$I$364,8,0),"")</f>
        <v/>
      </c>
      <c r="H19" s="101"/>
      <c r="I19" s="101"/>
      <c r="J19" s="102"/>
      <c r="K19" s="102"/>
      <c r="L19" s="96" t="str">
        <f>IFERROR(VLOOKUP(E19,'Szakképesítések 21.01.08. PK-k'!$B$2:$G$364,6,0),"")</f>
        <v/>
      </c>
      <c r="M19" s="130" t="str">
        <f>IFERROR(VLOOKUP(E19,'Szakképesítések 21.01.08. PK-k'!$B$2:$C$364,2,0),"")</f>
        <v/>
      </c>
      <c r="N19" s="136" t="str">
        <f>IFERROR(VLOOKUP(E19,'Szakképesítések 21.01.08. PK-k'!$B$2:$K$364,10,0),"")</f>
        <v/>
      </c>
      <c r="O19" s="195" t="str">
        <f t="shared" si="1"/>
        <v/>
      </c>
      <c r="P19" s="98" t="str">
        <f t="shared" si="6"/>
        <v/>
      </c>
      <c r="Q19" s="120" t="str">
        <f t="shared" si="7"/>
        <v/>
      </c>
      <c r="R19" s="126"/>
      <c r="S19" s="98"/>
      <c r="T19" s="98"/>
      <c r="U19" s="98"/>
      <c r="V19" s="98"/>
      <c r="W19" s="98" t="str">
        <f t="shared" si="4"/>
        <v/>
      </c>
      <c r="X19" s="98" t="str">
        <f>IF(T19="","",N19*('Támogatás szorzat tényezői'!$C$6/'Támogatás szorzat tényezői'!$C$4)*U19)</f>
        <v/>
      </c>
      <c r="Y19" s="120" t="str">
        <f t="shared" si="5"/>
        <v/>
      </c>
      <c r="Z19" s="242"/>
      <c r="AA19" s="6"/>
      <c r="AB19" s="6"/>
      <c r="AC19" s="6"/>
      <c r="AD19" s="6"/>
      <c r="AE19" s="241"/>
    </row>
    <row r="20" spans="1:31" ht="30.75" customHeight="1" x14ac:dyDescent="0.25">
      <c r="A20" s="235"/>
      <c r="B20" s="100"/>
      <c r="C20" s="100"/>
      <c r="D20" s="97" t="s">
        <v>3763</v>
      </c>
      <c r="E20" s="100"/>
      <c r="F20" s="99" t="str">
        <f>IFERROR(VLOOKUP(E20,'Szakképesítések 21.01.08. PK-k'!$B$2:$I$364,7,0),"")</f>
        <v/>
      </c>
      <c r="G20" s="99" t="str">
        <f>IFERROR(VLOOKUP(E20,'Szakképesítések 21.01.08. PK-k'!$B$2:$I$364,8,0),"")</f>
        <v/>
      </c>
      <c r="H20" s="101"/>
      <c r="I20" s="101"/>
      <c r="J20" s="102"/>
      <c r="K20" s="102"/>
      <c r="L20" s="96" t="str">
        <f>IFERROR(VLOOKUP(E20,'Szakképesítések 21.01.08. PK-k'!$B$2:$G$364,6,0),"")</f>
        <v/>
      </c>
      <c r="M20" s="130" t="str">
        <f>IFERROR(VLOOKUP(E20,'Szakképesítések 21.01.08. PK-k'!$B$2:$C$364,2,0),"")</f>
        <v/>
      </c>
      <c r="N20" s="136" t="str">
        <f>IFERROR(VLOOKUP(E20,'Szakképesítések 21.01.08. PK-k'!$B$2:$K$364,10,0),"")</f>
        <v/>
      </c>
      <c r="O20" s="195" t="str">
        <f t="shared" si="1"/>
        <v/>
      </c>
      <c r="P20" s="98" t="str">
        <f t="shared" ref="P20:P53" si="8">IFERROR((J20+K20)*N20,"")</f>
        <v/>
      </c>
      <c r="Q20" s="120" t="str">
        <f t="shared" ref="Q20:Q53" si="9">IFERROR((J20*N20)+(K20*0.5*N20),"")</f>
        <v/>
      </c>
      <c r="R20" s="126"/>
      <c r="S20" s="98"/>
      <c r="T20" s="98"/>
      <c r="U20" s="98"/>
      <c r="V20" s="98"/>
      <c r="W20" s="98" t="str">
        <f t="shared" si="4"/>
        <v/>
      </c>
      <c r="X20" s="98" t="str">
        <f>IF(T20="","",N20*('Támogatás szorzat tényezői'!$C$6/'Támogatás szorzat tényezői'!$C$4)*U20)</f>
        <v/>
      </c>
      <c r="Y20" s="120" t="str">
        <f t="shared" si="5"/>
        <v/>
      </c>
      <c r="Z20" s="242"/>
      <c r="AA20" s="6"/>
      <c r="AB20" s="6"/>
      <c r="AC20" s="6"/>
      <c r="AD20" s="6"/>
      <c r="AE20" s="241"/>
    </row>
    <row r="21" spans="1:31" ht="30.75" customHeight="1" x14ac:dyDescent="0.25">
      <c r="A21" s="235"/>
      <c r="B21" s="100"/>
      <c r="C21" s="100"/>
      <c r="D21" s="97" t="s">
        <v>3763</v>
      </c>
      <c r="E21" s="100"/>
      <c r="F21" s="99" t="str">
        <f>IFERROR(VLOOKUP(E21,'Szakképesítések 21.01.08. PK-k'!$B$2:$I$364,7,0),"")</f>
        <v/>
      </c>
      <c r="G21" s="99" t="str">
        <f>IFERROR(VLOOKUP(E21,'Szakképesítések 21.01.08. PK-k'!$B$2:$I$364,8,0),"")</f>
        <v/>
      </c>
      <c r="H21" s="101"/>
      <c r="I21" s="101"/>
      <c r="J21" s="102"/>
      <c r="K21" s="102"/>
      <c r="L21" s="96" t="str">
        <f>IFERROR(VLOOKUP(E21,'Szakképesítések 21.01.08. PK-k'!$B$2:$G$364,6,0),"")</f>
        <v/>
      </c>
      <c r="M21" s="130" t="str">
        <f>IFERROR(VLOOKUP(E21,'Szakképesítések 21.01.08. PK-k'!$B$2:$C$364,2,0),"")</f>
        <v/>
      </c>
      <c r="N21" s="136" t="str">
        <f>IFERROR(VLOOKUP(E21,'Szakképesítések 21.01.08. PK-k'!$B$2:$K$364,10,0),"")</f>
        <v/>
      </c>
      <c r="O21" s="195" t="str">
        <f t="shared" si="1"/>
        <v/>
      </c>
      <c r="P21" s="98" t="str">
        <f t="shared" si="8"/>
        <v/>
      </c>
      <c r="Q21" s="120" t="str">
        <f t="shared" si="9"/>
        <v/>
      </c>
      <c r="R21" s="126"/>
      <c r="S21" s="98"/>
      <c r="T21" s="98"/>
      <c r="U21" s="98"/>
      <c r="V21" s="98"/>
      <c r="W21" s="98" t="str">
        <f t="shared" si="4"/>
        <v/>
      </c>
      <c r="X21" s="98" t="str">
        <f>IF(T21="","",N21*('Támogatás szorzat tényezői'!$C$6/'Támogatás szorzat tényezői'!$C$4)*U21)</f>
        <v/>
      </c>
      <c r="Y21" s="120" t="str">
        <f t="shared" si="5"/>
        <v/>
      </c>
      <c r="Z21" s="242"/>
      <c r="AA21" s="6"/>
      <c r="AB21" s="6"/>
      <c r="AC21" s="6"/>
      <c r="AD21" s="6"/>
      <c r="AE21" s="241"/>
    </row>
    <row r="22" spans="1:31" ht="30.75" customHeight="1" x14ac:dyDescent="0.25">
      <c r="A22" s="235"/>
      <c r="B22" s="100"/>
      <c r="C22" s="100"/>
      <c r="D22" s="97" t="s">
        <v>3763</v>
      </c>
      <c r="E22" s="100"/>
      <c r="F22" s="99" t="str">
        <f>IFERROR(VLOOKUP(E22,'Szakképesítések 21.01.08. PK-k'!$B$2:$I$364,7,0),"")</f>
        <v/>
      </c>
      <c r="G22" s="99" t="str">
        <f>IFERROR(VLOOKUP(E22,'Szakképesítések 21.01.08. PK-k'!$B$2:$I$364,8,0),"")</f>
        <v/>
      </c>
      <c r="H22" s="101"/>
      <c r="I22" s="101"/>
      <c r="J22" s="102"/>
      <c r="K22" s="102"/>
      <c r="L22" s="96" t="str">
        <f>IFERROR(VLOOKUP(E22,'Szakképesítések 21.01.08. PK-k'!$B$2:$G$364,6,0),"")</f>
        <v/>
      </c>
      <c r="M22" s="130" t="str">
        <f>IFERROR(VLOOKUP(E22,'Szakképesítések 21.01.08. PK-k'!$B$2:$C$364,2,0),"")</f>
        <v/>
      </c>
      <c r="N22" s="136" t="str">
        <f>IFERROR(VLOOKUP(E22,'Szakképesítések 21.01.08. PK-k'!$B$2:$K$364,10,0),"")</f>
        <v/>
      </c>
      <c r="O22" s="195" t="str">
        <f t="shared" si="1"/>
        <v/>
      </c>
      <c r="P22" s="98" t="str">
        <f t="shared" si="8"/>
        <v/>
      </c>
      <c r="Q22" s="120" t="str">
        <f t="shared" si="9"/>
        <v/>
      </c>
      <c r="R22" s="126"/>
      <c r="S22" s="98"/>
      <c r="T22" s="98"/>
      <c r="U22" s="98"/>
      <c r="V22" s="98"/>
      <c r="W22" s="98" t="str">
        <f t="shared" si="4"/>
        <v/>
      </c>
      <c r="X22" s="98" t="str">
        <f>IF(T22="","",N22*('Támogatás szorzat tényezői'!$C$6/'Támogatás szorzat tényezői'!$C$4)*U22)</f>
        <v/>
      </c>
      <c r="Y22" s="120" t="str">
        <f t="shared" si="5"/>
        <v/>
      </c>
      <c r="Z22" s="242"/>
      <c r="AA22" s="6"/>
      <c r="AB22" s="6"/>
      <c r="AC22" s="6"/>
      <c r="AD22" s="6"/>
      <c r="AE22" s="241"/>
    </row>
    <row r="23" spans="1:31" ht="30.75" customHeight="1" x14ac:dyDescent="0.25">
      <c r="A23" s="235"/>
      <c r="B23" s="100"/>
      <c r="C23" s="100"/>
      <c r="D23" s="97" t="s">
        <v>3763</v>
      </c>
      <c r="E23" s="100"/>
      <c r="F23" s="99" t="str">
        <f>IFERROR(VLOOKUP(E23,'Szakképesítések 21.01.08. PK-k'!$B$2:$I$364,7,0),"")</f>
        <v/>
      </c>
      <c r="G23" s="99" t="str">
        <f>IFERROR(VLOOKUP(E23,'Szakképesítések 21.01.08. PK-k'!$B$2:$I$364,8,0),"")</f>
        <v/>
      </c>
      <c r="H23" s="101"/>
      <c r="I23" s="101"/>
      <c r="J23" s="102"/>
      <c r="K23" s="102"/>
      <c r="L23" s="96" t="str">
        <f>IFERROR(VLOOKUP(E23,'Szakképesítések 21.01.08. PK-k'!$B$2:$G$364,6,0),"")</f>
        <v/>
      </c>
      <c r="M23" s="130" t="str">
        <f>IFERROR(VLOOKUP(E23,'Szakképesítések 21.01.08. PK-k'!$B$2:$C$364,2,0),"")</f>
        <v/>
      </c>
      <c r="N23" s="136" t="str">
        <f>IFERROR(VLOOKUP(E23,'Szakképesítések 21.01.08. PK-k'!$B$2:$K$364,10,0),"")</f>
        <v/>
      </c>
      <c r="O23" s="195" t="str">
        <f t="shared" si="1"/>
        <v/>
      </c>
      <c r="P23" s="98" t="str">
        <f t="shared" si="8"/>
        <v/>
      </c>
      <c r="Q23" s="120" t="str">
        <f t="shared" si="9"/>
        <v/>
      </c>
      <c r="R23" s="126"/>
      <c r="S23" s="98"/>
      <c r="T23" s="98"/>
      <c r="U23" s="98"/>
      <c r="V23" s="98"/>
      <c r="W23" s="98" t="str">
        <f t="shared" si="4"/>
        <v/>
      </c>
      <c r="X23" s="98" t="str">
        <f>IF(T23="","",N23*('Támogatás szorzat tényezői'!$C$6/'Támogatás szorzat tényezői'!$C$4)*U23)</f>
        <v/>
      </c>
      <c r="Y23" s="120" t="str">
        <f t="shared" si="5"/>
        <v/>
      </c>
      <c r="Z23" s="242"/>
      <c r="AA23" s="6"/>
      <c r="AB23" s="6"/>
      <c r="AC23" s="6"/>
      <c r="AD23" s="6"/>
      <c r="AE23" s="241"/>
    </row>
    <row r="24" spans="1:31" ht="30.75" customHeight="1" x14ac:dyDescent="0.25">
      <c r="A24" s="235"/>
      <c r="B24" s="100"/>
      <c r="C24" s="100"/>
      <c r="D24" s="97" t="s">
        <v>3763</v>
      </c>
      <c r="E24" s="100"/>
      <c r="F24" s="99" t="str">
        <f>IFERROR(VLOOKUP(E24,'Szakképesítések 21.01.08. PK-k'!$B$2:$I$364,7,0),"")</f>
        <v/>
      </c>
      <c r="G24" s="99" t="str">
        <f>IFERROR(VLOOKUP(E24,'Szakképesítések 21.01.08. PK-k'!$B$2:$I$364,8,0),"")</f>
        <v/>
      </c>
      <c r="H24" s="101"/>
      <c r="I24" s="101"/>
      <c r="J24" s="102"/>
      <c r="K24" s="102"/>
      <c r="L24" s="96" t="str">
        <f>IFERROR(VLOOKUP(E24,'Szakképesítések 21.01.08. PK-k'!$B$2:$G$364,6,0),"")</f>
        <v/>
      </c>
      <c r="M24" s="130" t="str">
        <f>IFERROR(VLOOKUP(E24,'Szakképesítések 21.01.08. PK-k'!$B$2:$C$364,2,0),"")</f>
        <v/>
      </c>
      <c r="N24" s="136" t="str">
        <f>IFERROR(VLOOKUP(E24,'Szakképesítések 21.01.08. PK-k'!$B$2:$K$364,10,0),"")</f>
        <v/>
      </c>
      <c r="O24" s="195" t="str">
        <f t="shared" si="1"/>
        <v/>
      </c>
      <c r="P24" s="98" t="str">
        <f t="shared" si="8"/>
        <v/>
      </c>
      <c r="Q24" s="120" t="str">
        <f t="shared" si="9"/>
        <v/>
      </c>
      <c r="R24" s="126"/>
      <c r="S24" s="98"/>
      <c r="T24" s="98"/>
      <c r="U24" s="98"/>
      <c r="V24" s="98"/>
      <c r="W24" s="98" t="str">
        <f t="shared" si="4"/>
        <v/>
      </c>
      <c r="X24" s="98" t="str">
        <f>IF(T24="","",N24*('Támogatás szorzat tényezői'!$C$6/'Támogatás szorzat tényezői'!$C$4)*U24)</f>
        <v/>
      </c>
      <c r="Y24" s="120" t="str">
        <f t="shared" si="5"/>
        <v/>
      </c>
      <c r="Z24" s="242"/>
      <c r="AA24" s="6"/>
      <c r="AB24" s="6"/>
      <c r="AC24" s="6"/>
      <c r="AD24" s="6"/>
      <c r="AE24" s="241"/>
    </row>
    <row r="25" spans="1:31" ht="30.75" customHeight="1" x14ac:dyDescent="0.25">
      <c r="A25" s="235"/>
      <c r="B25" s="100"/>
      <c r="C25" s="100"/>
      <c r="D25" s="97" t="s">
        <v>3763</v>
      </c>
      <c r="E25" s="100"/>
      <c r="F25" s="99" t="str">
        <f>IFERROR(VLOOKUP(E25,'Szakképesítések 21.01.08. PK-k'!$B$2:$I$364,7,0),"")</f>
        <v/>
      </c>
      <c r="G25" s="99" t="str">
        <f>IFERROR(VLOOKUP(E25,'Szakképesítések 21.01.08. PK-k'!$B$2:$I$364,8,0),"")</f>
        <v/>
      </c>
      <c r="H25" s="101"/>
      <c r="I25" s="101"/>
      <c r="J25" s="102"/>
      <c r="K25" s="102"/>
      <c r="L25" s="96" t="str">
        <f>IFERROR(VLOOKUP(E25,'Szakképesítések 21.01.08. PK-k'!$B$2:$G$364,6,0),"")</f>
        <v/>
      </c>
      <c r="M25" s="130" t="str">
        <f>IFERROR(VLOOKUP(E25,'Szakképesítések 21.01.08. PK-k'!$B$2:$C$364,2,0),"")</f>
        <v/>
      </c>
      <c r="N25" s="136" t="str">
        <f>IFERROR(VLOOKUP(E25,'Szakképesítések 21.01.08. PK-k'!$B$2:$K$364,10,0),"")</f>
        <v/>
      </c>
      <c r="O25" s="195" t="str">
        <f t="shared" si="1"/>
        <v/>
      </c>
      <c r="P25" s="98" t="str">
        <f t="shared" si="8"/>
        <v/>
      </c>
      <c r="Q25" s="120" t="str">
        <f t="shared" si="9"/>
        <v/>
      </c>
      <c r="R25" s="126"/>
      <c r="S25" s="98"/>
      <c r="T25" s="98"/>
      <c r="U25" s="98"/>
      <c r="V25" s="98"/>
      <c r="W25" s="98" t="str">
        <f t="shared" si="4"/>
        <v/>
      </c>
      <c r="X25" s="98" t="str">
        <f>IF(T25="","",N25*('Támogatás szorzat tényezői'!$C$6/'Támogatás szorzat tényezői'!$C$4)*U25)</f>
        <v/>
      </c>
      <c r="Y25" s="120" t="str">
        <f t="shared" si="5"/>
        <v/>
      </c>
      <c r="Z25" s="242"/>
      <c r="AA25" s="6"/>
      <c r="AB25" s="6"/>
      <c r="AC25" s="6"/>
      <c r="AD25" s="6"/>
      <c r="AE25" s="241"/>
    </row>
    <row r="26" spans="1:31" ht="30.75" customHeight="1" x14ac:dyDescent="0.25">
      <c r="A26" s="235"/>
      <c r="B26" s="100"/>
      <c r="C26" s="100"/>
      <c r="D26" s="97" t="s">
        <v>3763</v>
      </c>
      <c r="E26" s="100"/>
      <c r="F26" s="99" t="str">
        <f>IFERROR(VLOOKUP(E26,'Szakképesítések 21.01.08. PK-k'!$B$2:$I$364,7,0),"")</f>
        <v/>
      </c>
      <c r="G26" s="99" t="str">
        <f>IFERROR(VLOOKUP(E26,'Szakképesítések 21.01.08. PK-k'!$B$2:$I$364,8,0),"")</f>
        <v/>
      </c>
      <c r="H26" s="101"/>
      <c r="I26" s="101"/>
      <c r="J26" s="102"/>
      <c r="K26" s="102"/>
      <c r="L26" s="96" t="str">
        <f>IFERROR(VLOOKUP(E26,'Szakképesítések 21.01.08. PK-k'!$B$2:$G$364,6,0),"")</f>
        <v/>
      </c>
      <c r="M26" s="130" t="str">
        <f>IFERROR(VLOOKUP(E26,'Szakképesítések 21.01.08. PK-k'!$B$2:$C$364,2,0),"")</f>
        <v/>
      </c>
      <c r="N26" s="136" t="str">
        <f>IFERROR(VLOOKUP(E26,'Szakképesítések 21.01.08. PK-k'!$B$2:$K$364,10,0),"")</f>
        <v/>
      </c>
      <c r="O26" s="195" t="str">
        <f t="shared" si="1"/>
        <v/>
      </c>
      <c r="P26" s="98" t="str">
        <f t="shared" si="8"/>
        <v/>
      </c>
      <c r="Q26" s="120" t="str">
        <f t="shared" si="9"/>
        <v/>
      </c>
      <c r="R26" s="126"/>
      <c r="S26" s="98"/>
      <c r="T26" s="98"/>
      <c r="U26" s="98"/>
      <c r="V26" s="98"/>
      <c r="W26" s="98" t="str">
        <f t="shared" si="4"/>
        <v/>
      </c>
      <c r="X26" s="98" t="str">
        <f>IF(T26="","",N26*('Támogatás szorzat tényezői'!$C$6/'Támogatás szorzat tényezői'!$C$4)*U26)</f>
        <v/>
      </c>
      <c r="Y26" s="120" t="str">
        <f t="shared" si="5"/>
        <v/>
      </c>
      <c r="Z26" s="242"/>
      <c r="AA26" s="6"/>
      <c r="AB26" s="6"/>
      <c r="AC26" s="6"/>
      <c r="AD26" s="6"/>
      <c r="AE26" s="241"/>
    </row>
    <row r="27" spans="1:31" ht="30.75" customHeight="1" x14ac:dyDescent="0.25">
      <c r="A27" s="235"/>
      <c r="B27" s="100"/>
      <c r="C27" s="100"/>
      <c r="D27" s="97" t="s">
        <v>3763</v>
      </c>
      <c r="E27" s="100"/>
      <c r="F27" s="99" t="str">
        <f>IFERROR(VLOOKUP(E27,'Szakképesítések 21.01.08. PK-k'!$B$2:$I$364,7,0),"")</f>
        <v/>
      </c>
      <c r="G27" s="99" t="str">
        <f>IFERROR(VLOOKUP(E27,'Szakképesítések 21.01.08. PK-k'!$B$2:$I$364,8,0),"")</f>
        <v/>
      </c>
      <c r="H27" s="101"/>
      <c r="I27" s="101"/>
      <c r="J27" s="102"/>
      <c r="K27" s="102"/>
      <c r="L27" s="96" t="str">
        <f>IFERROR(VLOOKUP(E27,'Szakképesítések 21.01.08. PK-k'!$B$2:$G$364,6,0),"")</f>
        <v/>
      </c>
      <c r="M27" s="130" t="str">
        <f>IFERROR(VLOOKUP(E27,'Szakképesítések 21.01.08. PK-k'!$B$2:$C$364,2,0),"")</f>
        <v/>
      </c>
      <c r="N27" s="136" t="str">
        <f>IFERROR(VLOOKUP(E27,'Szakképesítések 21.01.08. PK-k'!$B$2:$K$364,10,0),"")</f>
        <v/>
      </c>
      <c r="O27" s="195" t="str">
        <f t="shared" si="1"/>
        <v/>
      </c>
      <c r="P27" s="98" t="str">
        <f t="shared" si="8"/>
        <v/>
      </c>
      <c r="Q27" s="120" t="str">
        <f t="shared" si="9"/>
        <v/>
      </c>
      <c r="R27" s="126"/>
      <c r="S27" s="98"/>
      <c r="T27" s="98"/>
      <c r="U27" s="98"/>
      <c r="V27" s="98"/>
      <c r="W27" s="98" t="str">
        <f t="shared" si="4"/>
        <v/>
      </c>
      <c r="X27" s="98" t="str">
        <f>IF(T27="","",N27*('Támogatás szorzat tényezői'!$C$6/'Támogatás szorzat tényezői'!$C$4)*U27)</f>
        <v/>
      </c>
      <c r="Y27" s="120" t="str">
        <f t="shared" si="5"/>
        <v/>
      </c>
      <c r="Z27" s="242"/>
      <c r="AA27" s="6"/>
      <c r="AB27" s="6"/>
      <c r="AC27" s="6"/>
      <c r="AD27" s="6"/>
      <c r="AE27" s="241"/>
    </row>
    <row r="28" spans="1:31" ht="30.75" customHeight="1" x14ac:dyDescent="0.25">
      <c r="A28" s="235"/>
      <c r="B28" s="100"/>
      <c r="C28" s="100"/>
      <c r="D28" s="97" t="s">
        <v>3763</v>
      </c>
      <c r="E28" s="100"/>
      <c r="F28" s="99" t="str">
        <f>IFERROR(VLOOKUP(E28,'Szakképesítések 21.01.08. PK-k'!$B$2:$I$364,7,0),"")</f>
        <v/>
      </c>
      <c r="G28" s="99" t="str">
        <f>IFERROR(VLOOKUP(E28,'Szakképesítések 21.01.08. PK-k'!$B$2:$I$364,8,0),"")</f>
        <v/>
      </c>
      <c r="H28" s="101"/>
      <c r="I28" s="101"/>
      <c r="J28" s="102"/>
      <c r="K28" s="102"/>
      <c r="L28" s="96" t="str">
        <f>IFERROR(VLOOKUP(E28,'Szakképesítések 21.01.08. PK-k'!$B$2:$G$364,6,0),"")</f>
        <v/>
      </c>
      <c r="M28" s="130" t="str">
        <f>IFERROR(VLOOKUP(E28,'Szakképesítések 21.01.08. PK-k'!$B$2:$C$364,2,0),"")</f>
        <v/>
      </c>
      <c r="N28" s="136" t="str">
        <f>IFERROR(VLOOKUP(E28,'Szakképesítések 21.01.08. PK-k'!$B$2:$K$364,10,0),"")</f>
        <v/>
      </c>
      <c r="O28" s="195" t="str">
        <f t="shared" si="1"/>
        <v/>
      </c>
      <c r="P28" s="98" t="str">
        <f t="shared" si="8"/>
        <v/>
      </c>
      <c r="Q28" s="120" t="str">
        <f t="shared" si="9"/>
        <v/>
      </c>
      <c r="R28" s="126"/>
      <c r="S28" s="98"/>
      <c r="T28" s="98"/>
      <c r="U28" s="98"/>
      <c r="V28" s="98"/>
      <c r="W28" s="98" t="str">
        <f t="shared" si="4"/>
        <v/>
      </c>
      <c r="X28" s="98" t="str">
        <f>IF(T28="","",N28*('Támogatás szorzat tényezői'!$C$6/'Támogatás szorzat tényezői'!$C$4)*U28)</f>
        <v/>
      </c>
      <c r="Y28" s="120" t="str">
        <f t="shared" si="5"/>
        <v/>
      </c>
      <c r="Z28" s="242"/>
      <c r="AA28" s="6"/>
      <c r="AB28" s="6"/>
      <c r="AC28" s="6"/>
      <c r="AD28" s="6"/>
      <c r="AE28" s="241"/>
    </row>
    <row r="29" spans="1:31" ht="30.75" customHeight="1" x14ac:dyDescent="0.25">
      <c r="A29" s="235"/>
      <c r="B29" s="100"/>
      <c r="C29" s="100"/>
      <c r="D29" s="97" t="s">
        <v>3763</v>
      </c>
      <c r="E29" s="100"/>
      <c r="F29" s="99" t="str">
        <f>IFERROR(VLOOKUP(E29,'Szakképesítések 21.01.08. PK-k'!$B$2:$I$364,7,0),"")</f>
        <v/>
      </c>
      <c r="G29" s="99" t="str">
        <f>IFERROR(VLOOKUP(E29,'Szakképesítések 21.01.08. PK-k'!$B$2:$I$364,8,0),"")</f>
        <v/>
      </c>
      <c r="H29" s="101"/>
      <c r="I29" s="101"/>
      <c r="J29" s="102"/>
      <c r="K29" s="102"/>
      <c r="L29" s="96" t="str">
        <f>IFERROR(VLOOKUP(E29,'Szakképesítések 21.01.08. PK-k'!$B$2:$G$364,6,0),"")</f>
        <v/>
      </c>
      <c r="M29" s="130" t="str">
        <f>IFERROR(VLOOKUP(E29,'Szakképesítések 21.01.08. PK-k'!$B$2:$C$364,2,0),"")</f>
        <v/>
      </c>
      <c r="N29" s="136" t="str">
        <f>IFERROR(VLOOKUP(E29,'Szakképesítések 21.01.08. PK-k'!$B$2:$K$364,10,0),"")</f>
        <v/>
      </c>
      <c r="O29" s="195" t="str">
        <f t="shared" si="1"/>
        <v/>
      </c>
      <c r="P29" s="98" t="str">
        <f t="shared" si="8"/>
        <v/>
      </c>
      <c r="Q29" s="120" t="str">
        <f t="shared" si="9"/>
        <v/>
      </c>
      <c r="R29" s="126"/>
      <c r="S29" s="98"/>
      <c r="T29" s="98"/>
      <c r="U29" s="98"/>
      <c r="V29" s="98"/>
      <c r="W29" s="98" t="str">
        <f t="shared" si="4"/>
        <v/>
      </c>
      <c r="X29" s="98" t="str">
        <f>IF(T29="","",N29*('Támogatás szorzat tényezői'!$C$6/'Támogatás szorzat tényezői'!$C$4)*U29)</f>
        <v/>
      </c>
      <c r="Y29" s="120" t="str">
        <f t="shared" si="5"/>
        <v/>
      </c>
      <c r="Z29" s="242"/>
      <c r="AA29" s="6"/>
      <c r="AB29" s="6"/>
      <c r="AC29" s="6"/>
      <c r="AD29" s="6"/>
      <c r="AE29" s="241"/>
    </row>
    <row r="30" spans="1:31" ht="30.75" customHeight="1" x14ac:dyDescent="0.25">
      <c r="A30" s="235"/>
      <c r="B30" s="100"/>
      <c r="C30" s="100"/>
      <c r="D30" s="97" t="s">
        <v>3763</v>
      </c>
      <c r="E30" s="100"/>
      <c r="F30" s="99" t="str">
        <f>IFERROR(VLOOKUP(E30,'Szakképesítések 21.01.08. PK-k'!$B$2:$I$364,7,0),"")</f>
        <v/>
      </c>
      <c r="G30" s="99" t="str">
        <f>IFERROR(VLOOKUP(E30,'Szakképesítések 21.01.08. PK-k'!$B$2:$I$364,8,0),"")</f>
        <v/>
      </c>
      <c r="H30" s="101"/>
      <c r="I30" s="101"/>
      <c r="J30" s="102"/>
      <c r="K30" s="102"/>
      <c r="L30" s="96" t="str">
        <f>IFERROR(VLOOKUP(E30,'Szakképesítések 21.01.08. PK-k'!$B$2:$G$364,6,0),"")</f>
        <v/>
      </c>
      <c r="M30" s="130" t="str">
        <f>IFERROR(VLOOKUP(E30,'Szakképesítések 21.01.08. PK-k'!$B$2:$C$364,2,0),"")</f>
        <v/>
      </c>
      <c r="N30" s="136" t="str">
        <f>IFERROR(VLOOKUP(E30,'Szakképesítések 21.01.08. PK-k'!$B$2:$K$364,10,0),"")</f>
        <v/>
      </c>
      <c r="O30" s="195" t="str">
        <f t="shared" si="1"/>
        <v/>
      </c>
      <c r="P30" s="98" t="str">
        <f t="shared" si="8"/>
        <v/>
      </c>
      <c r="Q30" s="120" t="str">
        <f t="shared" si="9"/>
        <v/>
      </c>
      <c r="R30" s="126"/>
      <c r="S30" s="98"/>
      <c r="T30" s="98"/>
      <c r="U30" s="98"/>
      <c r="V30" s="98"/>
      <c r="W30" s="98" t="str">
        <f t="shared" si="4"/>
        <v/>
      </c>
      <c r="X30" s="98" t="str">
        <f>IF(T30="","",N30*('Támogatás szorzat tényezői'!$C$6/'Támogatás szorzat tényezői'!$C$4)*U30)</f>
        <v/>
      </c>
      <c r="Y30" s="120" t="str">
        <f t="shared" si="5"/>
        <v/>
      </c>
      <c r="Z30" s="242"/>
      <c r="AA30" s="6"/>
      <c r="AB30" s="6"/>
      <c r="AC30" s="6"/>
      <c r="AD30" s="6"/>
      <c r="AE30" s="241"/>
    </row>
    <row r="31" spans="1:31" ht="30.75" customHeight="1" x14ac:dyDescent="0.25">
      <c r="A31" s="235"/>
      <c r="B31" s="100"/>
      <c r="C31" s="100"/>
      <c r="D31" s="97" t="s">
        <v>3763</v>
      </c>
      <c r="E31" s="100"/>
      <c r="F31" s="99" t="str">
        <f>IFERROR(VLOOKUP(E31,'Szakképesítések 21.01.08. PK-k'!$B$2:$I$364,7,0),"")</f>
        <v/>
      </c>
      <c r="G31" s="99" t="str">
        <f>IFERROR(VLOOKUP(E31,'Szakképesítések 21.01.08. PK-k'!$B$2:$I$364,8,0),"")</f>
        <v/>
      </c>
      <c r="H31" s="101"/>
      <c r="I31" s="101"/>
      <c r="J31" s="102"/>
      <c r="K31" s="102"/>
      <c r="L31" s="96" t="str">
        <f>IFERROR(VLOOKUP(E31,'Szakképesítések 21.01.08. PK-k'!$B$2:$G$364,6,0),"")</f>
        <v/>
      </c>
      <c r="M31" s="130" t="str">
        <f>IFERROR(VLOOKUP(E31,'Szakképesítések 21.01.08. PK-k'!$B$2:$C$364,2,0),"")</f>
        <v/>
      </c>
      <c r="N31" s="136" t="str">
        <f>IFERROR(VLOOKUP(E31,'Szakképesítések 21.01.08. PK-k'!$B$2:$K$364,10,0),"")</f>
        <v/>
      </c>
      <c r="O31" s="195" t="str">
        <f t="shared" si="1"/>
        <v/>
      </c>
      <c r="P31" s="98" t="str">
        <f t="shared" si="8"/>
        <v/>
      </c>
      <c r="Q31" s="120" t="str">
        <f t="shared" si="9"/>
        <v/>
      </c>
      <c r="R31" s="126"/>
      <c r="S31" s="98"/>
      <c r="T31" s="98"/>
      <c r="U31" s="98"/>
      <c r="V31" s="98"/>
      <c r="W31" s="98" t="str">
        <f t="shared" si="4"/>
        <v/>
      </c>
      <c r="X31" s="98" t="str">
        <f>IF(T31="","",N31*('Támogatás szorzat tényezői'!$C$6/'Támogatás szorzat tényezői'!$C$4)*U31)</f>
        <v/>
      </c>
      <c r="Y31" s="120" t="str">
        <f t="shared" si="5"/>
        <v/>
      </c>
      <c r="Z31" s="242"/>
      <c r="AA31" s="6"/>
      <c r="AB31" s="6"/>
      <c r="AC31" s="6"/>
      <c r="AD31" s="6"/>
      <c r="AE31" s="241"/>
    </row>
    <row r="32" spans="1:31" ht="30.75" customHeight="1" x14ac:dyDescent="0.25">
      <c r="A32" s="235"/>
      <c r="B32" s="100"/>
      <c r="C32" s="100"/>
      <c r="D32" s="97" t="s">
        <v>3763</v>
      </c>
      <c r="E32" s="100"/>
      <c r="F32" s="99" t="str">
        <f>IFERROR(VLOOKUP(E32,'Szakképesítések 21.01.08. PK-k'!$B$2:$I$364,7,0),"")</f>
        <v/>
      </c>
      <c r="G32" s="99" t="str">
        <f>IFERROR(VLOOKUP(E32,'Szakképesítések 21.01.08. PK-k'!$B$2:$I$364,8,0),"")</f>
        <v/>
      </c>
      <c r="H32" s="101"/>
      <c r="I32" s="101"/>
      <c r="J32" s="102"/>
      <c r="K32" s="102"/>
      <c r="L32" s="96" t="str">
        <f>IFERROR(VLOOKUP(E32,'Szakképesítések 21.01.08. PK-k'!$B$2:$G$364,6,0),"")</f>
        <v/>
      </c>
      <c r="M32" s="130" t="str">
        <f>IFERROR(VLOOKUP(E32,'Szakképesítések 21.01.08. PK-k'!$B$2:$C$364,2,0),"")</f>
        <v/>
      </c>
      <c r="N32" s="136" t="str">
        <f>IFERROR(VLOOKUP(E32,'Szakképesítések 21.01.08. PK-k'!$B$2:$K$364,10,0),"")</f>
        <v/>
      </c>
      <c r="O32" s="195" t="str">
        <f t="shared" si="1"/>
        <v/>
      </c>
      <c r="P32" s="98" t="str">
        <f t="shared" si="8"/>
        <v/>
      </c>
      <c r="Q32" s="120" t="str">
        <f t="shared" si="9"/>
        <v/>
      </c>
      <c r="R32" s="126"/>
      <c r="S32" s="98"/>
      <c r="T32" s="98"/>
      <c r="U32" s="98"/>
      <c r="V32" s="98"/>
      <c r="W32" s="98" t="str">
        <f t="shared" si="4"/>
        <v/>
      </c>
      <c r="X32" s="98" t="str">
        <f>IF(T32="","",N32*('Támogatás szorzat tényezői'!$C$6/'Támogatás szorzat tényezői'!$C$4)*U32)</f>
        <v/>
      </c>
      <c r="Y32" s="120" t="str">
        <f t="shared" si="5"/>
        <v/>
      </c>
      <c r="Z32" s="242"/>
      <c r="AA32" s="6"/>
      <c r="AB32" s="6"/>
      <c r="AC32" s="6"/>
      <c r="AD32" s="6"/>
      <c r="AE32" s="241"/>
    </row>
    <row r="33" spans="1:31" ht="30.75" customHeight="1" x14ac:dyDescent="0.25">
      <c r="A33" s="235"/>
      <c r="B33" s="100"/>
      <c r="C33" s="100"/>
      <c r="D33" s="97" t="s">
        <v>3763</v>
      </c>
      <c r="E33" s="100"/>
      <c r="F33" s="99" t="str">
        <f>IFERROR(VLOOKUP(E33,'Szakképesítések 21.01.08. PK-k'!$B$2:$I$364,7,0),"")</f>
        <v/>
      </c>
      <c r="G33" s="99" t="str">
        <f>IFERROR(VLOOKUP(E33,'Szakképesítések 21.01.08. PK-k'!$B$2:$I$364,8,0),"")</f>
        <v/>
      </c>
      <c r="H33" s="101"/>
      <c r="I33" s="101"/>
      <c r="J33" s="102"/>
      <c r="K33" s="102"/>
      <c r="L33" s="96" t="str">
        <f>IFERROR(VLOOKUP(E33,'Szakképesítések 21.01.08. PK-k'!$B$2:$G$364,6,0),"")</f>
        <v/>
      </c>
      <c r="M33" s="130" t="str">
        <f>IFERROR(VLOOKUP(E33,'Szakképesítések 21.01.08. PK-k'!$B$2:$C$364,2,0),"")</f>
        <v/>
      </c>
      <c r="N33" s="136" t="str">
        <f>IFERROR(VLOOKUP(E33,'Szakképesítések 21.01.08. PK-k'!$B$2:$K$364,10,0),"")</f>
        <v/>
      </c>
      <c r="O33" s="195" t="str">
        <f t="shared" si="1"/>
        <v/>
      </c>
      <c r="P33" s="98" t="str">
        <f t="shared" si="8"/>
        <v/>
      </c>
      <c r="Q33" s="120" t="str">
        <f t="shared" si="9"/>
        <v/>
      </c>
      <c r="R33" s="126"/>
      <c r="S33" s="98"/>
      <c r="T33" s="98"/>
      <c r="U33" s="98"/>
      <c r="V33" s="98"/>
      <c r="W33" s="98" t="str">
        <f t="shared" si="4"/>
        <v/>
      </c>
      <c r="X33" s="98" t="str">
        <f>IF(T33="","",N33*('Támogatás szorzat tényezői'!$C$6/'Támogatás szorzat tényezői'!$C$4)*U33)</f>
        <v/>
      </c>
      <c r="Y33" s="120" t="str">
        <f t="shared" si="5"/>
        <v/>
      </c>
      <c r="Z33" s="242"/>
      <c r="AA33" s="6"/>
      <c r="AB33" s="6"/>
      <c r="AC33" s="6"/>
      <c r="AD33" s="6"/>
      <c r="AE33" s="241"/>
    </row>
    <row r="34" spans="1:31" ht="30.75" customHeight="1" x14ac:dyDescent="0.25">
      <c r="A34" s="235"/>
      <c r="B34" s="100"/>
      <c r="C34" s="100"/>
      <c r="D34" s="97" t="s">
        <v>3763</v>
      </c>
      <c r="E34" s="100"/>
      <c r="F34" s="99" t="str">
        <f>IFERROR(VLOOKUP(E34,'Szakképesítések 21.01.08. PK-k'!$B$2:$I$364,7,0),"")</f>
        <v/>
      </c>
      <c r="G34" s="99" t="str">
        <f>IFERROR(VLOOKUP(E34,'Szakképesítések 21.01.08. PK-k'!$B$2:$I$364,8,0),"")</f>
        <v/>
      </c>
      <c r="H34" s="101"/>
      <c r="I34" s="101"/>
      <c r="J34" s="102"/>
      <c r="K34" s="102"/>
      <c r="L34" s="96" t="str">
        <f>IFERROR(VLOOKUP(E34,'Szakképesítések 21.01.08. PK-k'!$B$2:$G$364,6,0),"")</f>
        <v/>
      </c>
      <c r="M34" s="130" t="str">
        <f>IFERROR(VLOOKUP(E34,'Szakképesítések 21.01.08. PK-k'!$B$2:$C$364,2,0),"")</f>
        <v/>
      </c>
      <c r="N34" s="136" t="str">
        <f>IFERROR(VLOOKUP(E34,'Szakképesítések 21.01.08. PK-k'!$B$2:$K$364,10,0),"")</f>
        <v/>
      </c>
      <c r="O34" s="195" t="str">
        <f t="shared" si="1"/>
        <v/>
      </c>
      <c r="P34" s="98" t="str">
        <f t="shared" si="8"/>
        <v/>
      </c>
      <c r="Q34" s="120" t="str">
        <f t="shared" si="9"/>
        <v/>
      </c>
      <c r="R34" s="126"/>
      <c r="S34" s="98"/>
      <c r="T34" s="98"/>
      <c r="U34" s="98"/>
      <c r="V34" s="98"/>
      <c r="W34" s="98" t="str">
        <f t="shared" si="4"/>
        <v/>
      </c>
      <c r="X34" s="98" t="str">
        <f>IF(T34="","",N34*('Támogatás szorzat tényezői'!$C$6/'Támogatás szorzat tényezői'!$C$4)*U34)</f>
        <v/>
      </c>
      <c r="Y34" s="120" t="str">
        <f t="shared" si="5"/>
        <v/>
      </c>
      <c r="Z34" s="242"/>
      <c r="AA34" s="6"/>
      <c r="AB34" s="6"/>
      <c r="AC34" s="6"/>
      <c r="AD34" s="6"/>
      <c r="AE34" s="241"/>
    </row>
    <row r="35" spans="1:31" ht="30.75" customHeight="1" x14ac:dyDescent="0.25">
      <c r="A35" s="235"/>
      <c r="B35" s="100"/>
      <c r="C35" s="100"/>
      <c r="D35" s="97" t="s">
        <v>3763</v>
      </c>
      <c r="E35" s="100"/>
      <c r="F35" s="99" t="str">
        <f>IFERROR(VLOOKUP(E35,'Szakképesítések 21.01.08. PK-k'!$B$2:$I$364,7,0),"")</f>
        <v/>
      </c>
      <c r="G35" s="99" t="str">
        <f>IFERROR(VLOOKUP(E35,'Szakképesítések 21.01.08. PK-k'!$B$2:$I$364,8,0),"")</f>
        <v/>
      </c>
      <c r="H35" s="101"/>
      <c r="I35" s="101"/>
      <c r="J35" s="102"/>
      <c r="K35" s="102"/>
      <c r="L35" s="96" t="str">
        <f>IFERROR(VLOOKUP(E35,'Szakképesítések 21.01.08. PK-k'!$B$2:$G$364,6,0),"")</f>
        <v/>
      </c>
      <c r="M35" s="130" t="str">
        <f>IFERROR(VLOOKUP(E35,'Szakképesítések 21.01.08. PK-k'!$B$2:$C$364,2,0),"")</f>
        <v/>
      </c>
      <c r="N35" s="136" t="str">
        <f>IFERROR(VLOOKUP(E35,'Szakképesítések 21.01.08. PK-k'!$B$2:$K$364,10,0),"")</f>
        <v/>
      </c>
      <c r="O35" s="195" t="str">
        <f t="shared" si="1"/>
        <v/>
      </c>
      <c r="P35" s="98" t="str">
        <f t="shared" si="8"/>
        <v/>
      </c>
      <c r="Q35" s="120" t="str">
        <f t="shared" si="9"/>
        <v/>
      </c>
      <c r="R35" s="126"/>
      <c r="S35" s="98"/>
      <c r="T35" s="98"/>
      <c r="U35" s="98"/>
      <c r="V35" s="98"/>
      <c r="W35" s="98" t="str">
        <f t="shared" si="4"/>
        <v/>
      </c>
      <c r="X35" s="98" t="str">
        <f>IF(T35="","",N35*('Támogatás szorzat tényezői'!$C$6/'Támogatás szorzat tényezői'!$C$4)*U35)</f>
        <v/>
      </c>
      <c r="Y35" s="120" t="str">
        <f t="shared" si="5"/>
        <v/>
      </c>
      <c r="Z35" s="242"/>
      <c r="AA35" s="6"/>
      <c r="AB35" s="6"/>
      <c r="AC35" s="6"/>
      <c r="AD35" s="6"/>
      <c r="AE35" s="241"/>
    </row>
    <row r="36" spans="1:31" ht="30.75" customHeight="1" x14ac:dyDescent="0.25">
      <c r="A36" s="235"/>
      <c r="B36" s="100"/>
      <c r="C36" s="100"/>
      <c r="D36" s="97" t="s">
        <v>3763</v>
      </c>
      <c r="E36" s="100"/>
      <c r="F36" s="99" t="str">
        <f>IFERROR(VLOOKUP(E36,'Szakképesítések 21.01.08. PK-k'!$B$2:$I$364,7,0),"")</f>
        <v/>
      </c>
      <c r="G36" s="99" t="str">
        <f>IFERROR(VLOOKUP(E36,'Szakképesítések 21.01.08. PK-k'!$B$2:$I$364,8,0),"")</f>
        <v/>
      </c>
      <c r="H36" s="101"/>
      <c r="I36" s="101"/>
      <c r="J36" s="102"/>
      <c r="K36" s="102"/>
      <c r="L36" s="96" t="str">
        <f>IFERROR(VLOOKUP(E36,'Szakképesítések 21.01.08. PK-k'!$B$2:$G$364,6,0),"")</f>
        <v/>
      </c>
      <c r="M36" s="130" t="str">
        <f>IFERROR(VLOOKUP(E36,'Szakképesítések 21.01.08. PK-k'!$B$2:$C$364,2,0),"")</f>
        <v/>
      </c>
      <c r="N36" s="136" t="str">
        <f>IFERROR(VLOOKUP(E36,'Szakképesítések 21.01.08. PK-k'!$B$2:$K$364,10,0),"")</f>
        <v/>
      </c>
      <c r="O36" s="195" t="str">
        <f t="shared" si="1"/>
        <v/>
      </c>
      <c r="P36" s="98" t="str">
        <f t="shared" si="8"/>
        <v/>
      </c>
      <c r="Q36" s="120" t="str">
        <f t="shared" si="9"/>
        <v/>
      </c>
      <c r="R36" s="126"/>
      <c r="S36" s="98"/>
      <c r="T36" s="98"/>
      <c r="U36" s="98"/>
      <c r="V36" s="98"/>
      <c r="W36" s="98" t="str">
        <f t="shared" si="4"/>
        <v/>
      </c>
      <c r="X36" s="98" t="str">
        <f>IF(T36="","",N36*('Támogatás szorzat tényezői'!$C$6/'Támogatás szorzat tényezői'!$C$4)*U36)</f>
        <v/>
      </c>
      <c r="Y36" s="120" t="str">
        <f t="shared" si="5"/>
        <v/>
      </c>
      <c r="Z36" s="242"/>
      <c r="AA36" s="6"/>
      <c r="AB36" s="6"/>
      <c r="AC36" s="6"/>
      <c r="AD36" s="6"/>
      <c r="AE36" s="241"/>
    </row>
    <row r="37" spans="1:31" ht="30.75" customHeight="1" x14ac:dyDescent="0.25">
      <c r="A37" s="235"/>
      <c r="B37" s="100"/>
      <c r="C37" s="100"/>
      <c r="D37" s="97" t="s">
        <v>3763</v>
      </c>
      <c r="E37" s="100"/>
      <c r="F37" s="99" t="str">
        <f>IFERROR(VLOOKUP(E37,'Szakképesítések 21.01.08. PK-k'!$B$2:$I$364,7,0),"")</f>
        <v/>
      </c>
      <c r="G37" s="99" t="str">
        <f>IFERROR(VLOOKUP(E37,'Szakképesítések 21.01.08. PK-k'!$B$2:$I$364,8,0),"")</f>
        <v/>
      </c>
      <c r="H37" s="101"/>
      <c r="I37" s="101"/>
      <c r="J37" s="102"/>
      <c r="K37" s="102"/>
      <c r="L37" s="96" t="str">
        <f>IFERROR(VLOOKUP(E37,'Szakképesítések 21.01.08. PK-k'!$B$2:$G$364,6,0),"")</f>
        <v/>
      </c>
      <c r="M37" s="130" t="str">
        <f>IFERROR(VLOOKUP(E37,'Szakképesítések 21.01.08. PK-k'!$B$2:$C$364,2,0),"")</f>
        <v/>
      </c>
      <c r="N37" s="136" t="str">
        <f>IFERROR(VLOOKUP(E37,'Szakképesítések 21.01.08. PK-k'!$B$2:$K$364,10,0),"")</f>
        <v/>
      </c>
      <c r="O37" s="195" t="str">
        <f t="shared" si="1"/>
        <v/>
      </c>
      <c r="P37" s="98" t="str">
        <f t="shared" si="8"/>
        <v/>
      </c>
      <c r="Q37" s="120" t="str">
        <f t="shared" si="9"/>
        <v/>
      </c>
      <c r="R37" s="126"/>
      <c r="S37" s="98"/>
      <c r="T37" s="98"/>
      <c r="U37" s="98"/>
      <c r="V37" s="98"/>
      <c r="W37" s="98" t="str">
        <f t="shared" si="4"/>
        <v/>
      </c>
      <c r="X37" s="98" t="str">
        <f>IF(T37="","",N37*('Támogatás szorzat tényezői'!$C$6/'Támogatás szorzat tényezői'!$C$4)*U37)</f>
        <v/>
      </c>
      <c r="Y37" s="120" t="str">
        <f t="shared" si="5"/>
        <v/>
      </c>
      <c r="Z37" s="242"/>
      <c r="AA37" s="6"/>
      <c r="AB37" s="6"/>
      <c r="AC37" s="6"/>
      <c r="AD37" s="6"/>
      <c r="AE37" s="241"/>
    </row>
    <row r="38" spans="1:31" ht="30.75" customHeight="1" x14ac:dyDescent="0.25">
      <c r="A38" s="235"/>
      <c r="B38" s="100"/>
      <c r="C38" s="100"/>
      <c r="D38" s="97" t="s">
        <v>3763</v>
      </c>
      <c r="E38" s="100"/>
      <c r="F38" s="99" t="str">
        <f>IFERROR(VLOOKUP(E38,'Szakképesítések 21.01.08. PK-k'!$B$2:$I$364,7,0),"")</f>
        <v/>
      </c>
      <c r="G38" s="99" t="str">
        <f>IFERROR(VLOOKUP(E38,'Szakképesítések 21.01.08. PK-k'!$B$2:$I$364,8,0),"")</f>
        <v/>
      </c>
      <c r="H38" s="101"/>
      <c r="I38" s="101"/>
      <c r="J38" s="102"/>
      <c r="K38" s="102"/>
      <c r="L38" s="96" t="str">
        <f>IFERROR(VLOOKUP(E38,'Szakképesítések 21.01.08. PK-k'!$B$2:$G$364,6,0),"")</f>
        <v/>
      </c>
      <c r="M38" s="130" t="str">
        <f>IFERROR(VLOOKUP(E38,'Szakképesítések 21.01.08. PK-k'!$B$2:$C$364,2,0),"")</f>
        <v/>
      </c>
      <c r="N38" s="136" t="str">
        <f>IFERROR(VLOOKUP(E38,'Szakképesítések 21.01.08. PK-k'!$B$2:$K$364,10,0),"")</f>
        <v/>
      </c>
      <c r="O38" s="195" t="str">
        <f t="shared" si="1"/>
        <v/>
      </c>
      <c r="P38" s="98" t="str">
        <f t="shared" si="8"/>
        <v/>
      </c>
      <c r="Q38" s="120" t="str">
        <f t="shared" si="9"/>
        <v/>
      </c>
      <c r="R38" s="126"/>
      <c r="S38" s="98"/>
      <c r="T38" s="98"/>
      <c r="U38" s="98"/>
      <c r="V38" s="98"/>
      <c r="W38" s="98" t="str">
        <f t="shared" si="4"/>
        <v/>
      </c>
      <c r="X38" s="98" t="str">
        <f>IF(T38="","",N38*('Támogatás szorzat tényezői'!$C$6/'Támogatás szorzat tényezői'!$C$4)*U38)</f>
        <v/>
      </c>
      <c r="Y38" s="120" t="str">
        <f t="shared" si="5"/>
        <v/>
      </c>
      <c r="Z38" s="242"/>
      <c r="AA38" s="6"/>
      <c r="AB38" s="6"/>
      <c r="AC38" s="6"/>
      <c r="AD38" s="6"/>
      <c r="AE38" s="241"/>
    </row>
    <row r="39" spans="1:31" ht="30.75" customHeight="1" x14ac:dyDescent="0.25">
      <c r="A39" s="235"/>
      <c r="B39" s="100"/>
      <c r="C39" s="100"/>
      <c r="D39" s="97" t="s">
        <v>3763</v>
      </c>
      <c r="E39" s="100"/>
      <c r="F39" s="99" t="str">
        <f>IFERROR(VLOOKUP(E39,'Szakképesítések 21.01.08. PK-k'!$B$2:$I$364,7,0),"")</f>
        <v/>
      </c>
      <c r="G39" s="99" t="str">
        <f>IFERROR(VLOOKUP(E39,'Szakképesítések 21.01.08. PK-k'!$B$2:$I$364,8,0),"")</f>
        <v/>
      </c>
      <c r="H39" s="101"/>
      <c r="I39" s="101"/>
      <c r="J39" s="102"/>
      <c r="K39" s="102"/>
      <c r="L39" s="96" t="str">
        <f>IFERROR(VLOOKUP(E39,'Szakképesítések 21.01.08. PK-k'!$B$2:$G$364,6,0),"")</f>
        <v/>
      </c>
      <c r="M39" s="130" t="str">
        <f>IFERROR(VLOOKUP(E39,'Szakképesítések 21.01.08. PK-k'!$B$2:$C$364,2,0),"")</f>
        <v/>
      </c>
      <c r="N39" s="136" t="str">
        <f>IFERROR(VLOOKUP(E39,'Szakképesítések 21.01.08. PK-k'!$B$2:$K$364,10,0),"")</f>
        <v/>
      </c>
      <c r="O39" s="195" t="str">
        <f t="shared" si="1"/>
        <v/>
      </c>
      <c r="P39" s="98" t="str">
        <f t="shared" si="8"/>
        <v/>
      </c>
      <c r="Q39" s="120" t="str">
        <f t="shared" si="9"/>
        <v/>
      </c>
      <c r="R39" s="126"/>
      <c r="S39" s="98"/>
      <c r="T39" s="98"/>
      <c r="U39" s="98"/>
      <c r="V39" s="98"/>
      <c r="W39" s="98" t="str">
        <f t="shared" si="4"/>
        <v/>
      </c>
      <c r="X39" s="98" t="str">
        <f>IF(T39="","",N39*('Támogatás szorzat tényezői'!$C$6/'Támogatás szorzat tényezői'!$C$4)*U39)</f>
        <v/>
      </c>
      <c r="Y39" s="120" t="str">
        <f t="shared" si="5"/>
        <v/>
      </c>
      <c r="Z39" s="242"/>
      <c r="AA39" s="6"/>
      <c r="AB39" s="6"/>
      <c r="AC39" s="6"/>
      <c r="AD39" s="6"/>
      <c r="AE39" s="241"/>
    </row>
    <row r="40" spans="1:31" ht="30.75" customHeight="1" x14ac:dyDescent="0.25">
      <c r="A40" s="235"/>
      <c r="B40" s="100"/>
      <c r="C40" s="100"/>
      <c r="D40" s="97" t="s">
        <v>3763</v>
      </c>
      <c r="E40" s="100"/>
      <c r="F40" s="99" t="str">
        <f>IFERROR(VLOOKUP(E40,'Szakképesítések 21.01.08. PK-k'!$B$2:$I$364,7,0),"")</f>
        <v/>
      </c>
      <c r="G40" s="99" t="str">
        <f>IFERROR(VLOOKUP(E40,'Szakképesítések 21.01.08. PK-k'!$B$2:$I$364,8,0),"")</f>
        <v/>
      </c>
      <c r="H40" s="101"/>
      <c r="I40" s="101"/>
      <c r="J40" s="102"/>
      <c r="K40" s="102"/>
      <c r="L40" s="96" t="str">
        <f>IFERROR(VLOOKUP(E40,'Szakképesítések 21.01.08. PK-k'!$B$2:$G$364,6,0),"")</f>
        <v/>
      </c>
      <c r="M40" s="130" t="str">
        <f>IFERROR(VLOOKUP(E40,'Szakképesítések 21.01.08. PK-k'!$B$2:$C$364,2,0),"")</f>
        <v/>
      </c>
      <c r="N40" s="136" t="str">
        <f>IFERROR(VLOOKUP(E40,'Szakképesítések 21.01.08. PK-k'!$B$2:$K$364,10,0),"")</f>
        <v/>
      </c>
      <c r="O40" s="195" t="str">
        <f t="shared" si="1"/>
        <v/>
      </c>
      <c r="P40" s="98" t="str">
        <f t="shared" si="8"/>
        <v/>
      </c>
      <c r="Q40" s="120" t="str">
        <f t="shared" si="9"/>
        <v/>
      </c>
      <c r="R40" s="126"/>
      <c r="S40" s="98"/>
      <c r="T40" s="98"/>
      <c r="U40" s="98"/>
      <c r="V40" s="98"/>
      <c r="W40" s="98" t="str">
        <f t="shared" si="4"/>
        <v/>
      </c>
      <c r="X40" s="98" t="str">
        <f>IF(T40="","",N40*('Támogatás szorzat tényezői'!$C$6/'Támogatás szorzat tényezői'!$C$4)*U40)</f>
        <v/>
      </c>
      <c r="Y40" s="120" t="str">
        <f t="shared" si="5"/>
        <v/>
      </c>
      <c r="Z40" s="242"/>
      <c r="AA40" s="6"/>
      <c r="AB40" s="6"/>
      <c r="AC40" s="6"/>
      <c r="AD40" s="6"/>
      <c r="AE40" s="241"/>
    </row>
    <row r="41" spans="1:31" ht="30.75" customHeight="1" x14ac:dyDescent="0.25">
      <c r="A41" s="235"/>
      <c r="B41" s="100"/>
      <c r="C41" s="100"/>
      <c r="D41" s="97" t="s">
        <v>3763</v>
      </c>
      <c r="E41" s="100"/>
      <c r="F41" s="99" t="str">
        <f>IFERROR(VLOOKUP(E41,'Szakképesítések 21.01.08. PK-k'!$B$2:$I$364,7,0),"")</f>
        <v/>
      </c>
      <c r="G41" s="99" t="str">
        <f>IFERROR(VLOOKUP(E41,'Szakképesítések 21.01.08. PK-k'!$B$2:$I$364,8,0),"")</f>
        <v/>
      </c>
      <c r="H41" s="101"/>
      <c r="I41" s="101"/>
      <c r="J41" s="102"/>
      <c r="K41" s="102"/>
      <c r="L41" s="96" t="str">
        <f>IFERROR(VLOOKUP(E41,'Szakképesítések 21.01.08. PK-k'!$B$2:$G$364,6,0),"")</f>
        <v/>
      </c>
      <c r="M41" s="130" t="str">
        <f>IFERROR(VLOOKUP(E41,'Szakképesítések 21.01.08. PK-k'!$B$2:$C$364,2,0),"")</f>
        <v/>
      </c>
      <c r="N41" s="136" t="str">
        <f>IFERROR(VLOOKUP(E41,'Szakképesítések 21.01.08. PK-k'!$B$2:$K$364,10,0),"")</f>
        <v/>
      </c>
      <c r="O41" s="195" t="str">
        <f t="shared" si="1"/>
        <v/>
      </c>
      <c r="P41" s="98" t="str">
        <f t="shared" si="8"/>
        <v/>
      </c>
      <c r="Q41" s="120" t="str">
        <f t="shared" si="9"/>
        <v/>
      </c>
      <c r="R41" s="126"/>
      <c r="S41" s="98"/>
      <c r="T41" s="98"/>
      <c r="U41" s="98"/>
      <c r="V41" s="98"/>
      <c r="W41" s="98" t="str">
        <f t="shared" si="4"/>
        <v/>
      </c>
      <c r="X41" s="98" t="str">
        <f>IF(T41="","",N41*('Támogatás szorzat tényezői'!$C$6/'Támogatás szorzat tényezői'!$C$4)*U41)</f>
        <v/>
      </c>
      <c r="Y41" s="120" t="str">
        <f t="shared" si="5"/>
        <v/>
      </c>
      <c r="Z41" s="242"/>
      <c r="AA41" s="6"/>
      <c r="AB41" s="6"/>
      <c r="AC41" s="6"/>
      <c r="AD41" s="6"/>
      <c r="AE41" s="241"/>
    </row>
    <row r="42" spans="1:31" ht="30.75" customHeight="1" x14ac:dyDescent="0.25">
      <c r="A42" s="235"/>
      <c r="B42" s="100"/>
      <c r="C42" s="100"/>
      <c r="D42" s="97" t="s">
        <v>3763</v>
      </c>
      <c r="E42" s="100"/>
      <c r="F42" s="99" t="str">
        <f>IFERROR(VLOOKUP(E42,'Szakképesítések 21.01.08. PK-k'!$B$2:$I$364,7,0),"")</f>
        <v/>
      </c>
      <c r="G42" s="99" t="str">
        <f>IFERROR(VLOOKUP(E42,'Szakképesítések 21.01.08. PK-k'!$B$2:$I$364,8,0),"")</f>
        <v/>
      </c>
      <c r="H42" s="101"/>
      <c r="I42" s="101"/>
      <c r="J42" s="102"/>
      <c r="K42" s="102"/>
      <c r="L42" s="96" t="str">
        <f>IFERROR(VLOOKUP(E42,'Szakképesítések 21.01.08. PK-k'!$B$2:$G$364,6,0),"")</f>
        <v/>
      </c>
      <c r="M42" s="130" t="str">
        <f>IFERROR(VLOOKUP(E42,'Szakképesítések 21.01.08. PK-k'!$B$2:$C$364,2,0),"")</f>
        <v/>
      </c>
      <c r="N42" s="136" t="str">
        <f>IFERROR(VLOOKUP(E42,'Szakképesítések 21.01.08. PK-k'!$B$2:$K$364,10,0),"")</f>
        <v/>
      </c>
      <c r="O42" s="195" t="str">
        <f t="shared" si="1"/>
        <v/>
      </c>
      <c r="P42" s="98" t="str">
        <f t="shared" si="8"/>
        <v/>
      </c>
      <c r="Q42" s="120" t="str">
        <f t="shared" si="9"/>
        <v/>
      </c>
      <c r="R42" s="126"/>
      <c r="S42" s="98"/>
      <c r="T42" s="98"/>
      <c r="U42" s="98"/>
      <c r="V42" s="98"/>
      <c r="W42" s="98" t="str">
        <f t="shared" si="4"/>
        <v/>
      </c>
      <c r="X42" s="98" t="str">
        <f>IF(T42="","",N42*('Támogatás szorzat tényezői'!$C$6/'Támogatás szorzat tényezői'!$C$4)*U42)</f>
        <v/>
      </c>
      <c r="Y42" s="120" t="str">
        <f t="shared" si="5"/>
        <v/>
      </c>
      <c r="Z42" s="242"/>
      <c r="AA42" s="6"/>
      <c r="AB42" s="6"/>
      <c r="AC42" s="6"/>
      <c r="AD42" s="6"/>
      <c r="AE42" s="241"/>
    </row>
    <row r="43" spans="1:31" ht="30.75" customHeight="1" x14ac:dyDescent="0.25">
      <c r="A43" s="235"/>
      <c r="B43" s="100"/>
      <c r="C43" s="100"/>
      <c r="D43" s="97" t="s">
        <v>3763</v>
      </c>
      <c r="E43" s="100"/>
      <c r="F43" s="99" t="str">
        <f>IFERROR(VLOOKUP(E43,'Szakképesítések 21.01.08. PK-k'!$B$2:$I$364,7,0),"")</f>
        <v/>
      </c>
      <c r="G43" s="99" t="str">
        <f>IFERROR(VLOOKUP(E43,'Szakképesítések 21.01.08. PK-k'!$B$2:$I$364,8,0),"")</f>
        <v/>
      </c>
      <c r="H43" s="101"/>
      <c r="I43" s="101"/>
      <c r="J43" s="102"/>
      <c r="K43" s="102"/>
      <c r="L43" s="96" t="str">
        <f>IFERROR(VLOOKUP(E43,'Szakképesítések 21.01.08. PK-k'!$B$2:$G$364,6,0),"")</f>
        <v/>
      </c>
      <c r="M43" s="130" t="str">
        <f>IFERROR(VLOOKUP(E43,'Szakképesítések 21.01.08. PK-k'!$B$2:$C$364,2,0),"")</f>
        <v/>
      </c>
      <c r="N43" s="136" t="str">
        <f>IFERROR(VLOOKUP(E43,'Szakképesítések 21.01.08. PK-k'!$B$2:$K$364,10,0),"")</f>
        <v/>
      </c>
      <c r="O43" s="195" t="str">
        <f t="shared" si="1"/>
        <v/>
      </c>
      <c r="P43" s="98" t="str">
        <f t="shared" si="8"/>
        <v/>
      </c>
      <c r="Q43" s="120" t="str">
        <f t="shared" si="9"/>
        <v/>
      </c>
      <c r="R43" s="126"/>
      <c r="S43" s="98"/>
      <c r="T43" s="98"/>
      <c r="U43" s="98"/>
      <c r="V43" s="98"/>
      <c r="W43" s="98" t="str">
        <f t="shared" si="4"/>
        <v/>
      </c>
      <c r="X43" s="98" t="str">
        <f>IF(T43="","",N43*('Támogatás szorzat tényezői'!$C$6/'Támogatás szorzat tényezői'!$C$4)*U43)</f>
        <v/>
      </c>
      <c r="Y43" s="120" t="str">
        <f t="shared" si="5"/>
        <v/>
      </c>
      <c r="Z43" s="242"/>
      <c r="AA43" s="6"/>
      <c r="AB43" s="6"/>
      <c r="AC43" s="6"/>
      <c r="AD43" s="6"/>
      <c r="AE43" s="241"/>
    </row>
    <row r="44" spans="1:31" ht="30.75" customHeight="1" x14ac:dyDescent="0.25">
      <c r="A44" s="235"/>
      <c r="B44" s="100"/>
      <c r="C44" s="100"/>
      <c r="D44" s="97" t="s">
        <v>3763</v>
      </c>
      <c r="E44" s="100"/>
      <c r="F44" s="99" t="str">
        <f>IFERROR(VLOOKUP(E44,'Szakképesítések 21.01.08. PK-k'!$B$2:$I$364,7,0),"")</f>
        <v/>
      </c>
      <c r="G44" s="99" t="str">
        <f>IFERROR(VLOOKUP(E44,'Szakképesítések 21.01.08. PK-k'!$B$2:$I$364,8,0),"")</f>
        <v/>
      </c>
      <c r="H44" s="101"/>
      <c r="I44" s="101"/>
      <c r="J44" s="102"/>
      <c r="K44" s="102"/>
      <c r="L44" s="96" t="str">
        <f>IFERROR(VLOOKUP(E44,'Szakképesítések 21.01.08. PK-k'!$B$2:$G$364,6,0),"")</f>
        <v/>
      </c>
      <c r="M44" s="130" t="str">
        <f>IFERROR(VLOOKUP(E44,'Szakképesítések 21.01.08. PK-k'!$B$2:$C$364,2,0),"")</f>
        <v/>
      </c>
      <c r="N44" s="136" t="str">
        <f>IFERROR(VLOOKUP(E44,'Szakképesítések 21.01.08. PK-k'!$B$2:$K$364,10,0),"")</f>
        <v/>
      </c>
      <c r="O44" s="195" t="str">
        <f t="shared" si="1"/>
        <v/>
      </c>
      <c r="P44" s="98" t="str">
        <f t="shared" si="8"/>
        <v/>
      </c>
      <c r="Q44" s="120" t="str">
        <f t="shared" si="9"/>
        <v/>
      </c>
      <c r="R44" s="126"/>
      <c r="S44" s="98"/>
      <c r="T44" s="98"/>
      <c r="U44" s="98"/>
      <c r="V44" s="98"/>
      <c r="W44" s="98" t="str">
        <f t="shared" si="4"/>
        <v/>
      </c>
      <c r="X44" s="98" t="str">
        <f>IF(T44="","",N44*('Támogatás szorzat tényezői'!$C$6/'Támogatás szorzat tényezői'!$C$4)*U44)</f>
        <v/>
      </c>
      <c r="Y44" s="120" t="str">
        <f t="shared" si="5"/>
        <v/>
      </c>
      <c r="Z44" s="242"/>
      <c r="AA44" s="6"/>
      <c r="AB44" s="6"/>
      <c r="AC44" s="6"/>
      <c r="AD44" s="6"/>
      <c r="AE44" s="241"/>
    </row>
    <row r="45" spans="1:31" ht="30.75" customHeight="1" x14ac:dyDescent="0.25">
      <c r="A45" s="235"/>
      <c r="B45" s="100"/>
      <c r="C45" s="100"/>
      <c r="D45" s="97" t="s">
        <v>3763</v>
      </c>
      <c r="E45" s="100"/>
      <c r="F45" s="99" t="str">
        <f>IFERROR(VLOOKUP(E45,'Szakképesítések 21.01.08. PK-k'!$B$2:$I$364,7,0),"")</f>
        <v/>
      </c>
      <c r="G45" s="99" t="str">
        <f>IFERROR(VLOOKUP(E45,'Szakképesítések 21.01.08. PK-k'!$B$2:$I$364,8,0),"")</f>
        <v/>
      </c>
      <c r="H45" s="101"/>
      <c r="I45" s="101"/>
      <c r="J45" s="102"/>
      <c r="K45" s="102"/>
      <c r="L45" s="96" t="str">
        <f>IFERROR(VLOOKUP(E45,'Szakképesítések 21.01.08. PK-k'!$B$2:$G$364,6,0),"")</f>
        <v/>
      </c>
      <c r="M45" s="130" t="str">
        <f>IFERROR(VLOOKUP(E45,'Szakképesítések 21.01.08. PK-k'!$B$2:$C$364,2,0),"")</f>
        <v/>
      </c>
      <c r="N45" s="136" t="str">
        <f>IFERROR(VLOOKUP(E45,'Szakképesítések 21.01.08. PK-k'!$B$2:$K$364,10,0),"")</f>
        <v/>
      </c>
      <c r="O45" s="195" t="str">
        <f t="shared" si="1"/>
        <v/>
      </c>
      <c r="P45" s="98" t="str">
        <f t="shared" si="8"/>
        <v/>
      </c>
      <c r="Q45" s="120" t="str">
        <f t="shared" si="9"/>
        <v/>
      </c>
      <c r="R45" s="126"/>
      <c r="S45" s="98"/>
      <c r="T45" s="98"/>
      <c r="U45" s="98"/>
      <c r="V45" s="98"/>
      <c r="W45" s="98" t="str">
        <f t="shared" si="4"/>
        <v/>
      </c>
      <c r="X45" s="98" t="str">
        <f>IF(T45="","",N45*('Támogatás szorzat tényezői'!$C$6/'Támogatás szorzat tényezői'!$C$4)*U45)</f>
        <v/>
      </c>
      <c r="Y45" s="120" t="str">
        <f t="shared" si="5"/>
        <v/>
      </c>
      <c r="Z45" s="242"/>
      <c r="AA45" s="6"/>
      <c r="AB45" s="6"/>
      <c r="AC45" s="6"/>
      <c r="AD45" s="6"/>
      <c r="AE45" s="241"/>
    </row>
    <row r="46" spans="1:31" ht="30.75" customHeight="1" x14ac:dyDescent="0.25">
      <c r="A46" s="235"/>
      <c r="B46" s="100"/>
      <c r="C46" s="100"/>
      <c r="D46" s="97" t="s">
        <v>3763</v>
      </c>
      <c r="E46" s="100"/>
      <c r="F46" s="99" t="str">
        <f>IFERROR(VLOOKUP(E46,'Szakképesítések 21.01.08. PK-k'!$B$2:$I$364,7,0),"")</f>
        <v/>
      </c>
      <c r="G46" s="99" t="str">
        <f>IFERROR(VLOOKUP(E46,'Szakképesítések 21.01.08. PK-k'!$B$2:$I$364,8,0),"")</f>
        <v/>
      </c>
      <c r="H46" s="101"/>
      <c r="I46" s="101"/>
      <c r="J46" s="102"/>
      <c r="K46" s="102"/>
      <c r="L46" s="96" t="str">
        <f>IFERROR(VLOOKUP(E46,'Szakképesítések 21.01.08. PK-k'!$B$2:$G$364,6,0),"")</f>
        <v/>
      </c>
      <c r="M46" s="130" t="str">
        <f>IFERROR(VLOOKUP(E46,'Szakképesítések 21.01.08. PK-k'!$B$2:$C$364,2,0),"")</f>
        <v/>
      </c>
      <c r="N46" s="136" t="str">
        <f>IFERROR(VLOOKUP(E46,'Szakképesítések 21.01.08. PK-k'!$B$2:$K$364,10,0),"")</f>
        <v/>
      </c>
      <c r="O46" s="195" t="str">
        <f t="shared" si="1"/>
        <v/>
      </c>
      <c r="P46" s="98" t="str">
        <f t="shared" si="8"/>
        <v/>
      </c>
      <c r="Q46" s="120" t="str">
        <f t="shared" si="9"/>
        <v/>
      </c>
      <c r="R46" s="126"/>
      <c r="S46" s="98"/>
      <c r="T46" s="98"/>
      <c r="U46" s="98"/>
      <c r="V46" s="98"/>
      <c r="W46" s="98" t="str">
        <f t="shared" si="4"/>
        <v/>
      </c>
      <c r="X46" s="98" t="str">
        <f>IF(T46="","",N46*('Támogatás szorzat tényezői'!$C$6/'Támogatás szorzat tényezői'!$C$4)*U46)</f>
        <v/>
      </c>
      <c r="Y46" s="120" t="str">
        <f t="shared" si="5"/>
        <v/>
      </c>
      <c r="Z46" s="242"/>
      <c r="AA46" s="6"/>
      <c r="AB46" s="6"/>
      <c r="AC46" s="6"/>
      <c r="AD46" s="6"/>
      <c r="AE46" s="241"/>
    </row>
    <row r="47" spans="1:31" ht="30.75" customHeight="1" x14ac:dyDescent="0.25">
      <c r="A47" s="235"/>
      <c r="B47" s="100"/>
      <c r="C47" s="100"/>
      <c r="D47" s="97" t="s">
        <v>3763</v>
      </c>
      <c r="E47" s="100"/>
      <c r="F47" s="99" t="str">
        <f>IFERROR(VLOOKUP(E47,'Szakképesítések 21.01.08. PK-k'!$B$2:$I$364,7,0),"")</f>
        <v/>
      </c>
      <c r="G47" s="99" t="str">
        <f>IFERROR(VLOOKUP(E47,'Szakképesítések 21.01.08. PK-k'!$B$2:$I$364,8,0),"")</f>
        <v/>
      </c>
      <c r="H47" s="101"/>
      <c r="I47" s="101"/>
      <c r="J47" s="102"/>
      <c r="K47" s="102"/>
      <c r="L47" s="96" t="str">
        <f>IFERROR(VLOOKUP(E47,'Szakképesítések 21.01.08. PK-k'!$B$2:$G$364,6,0),"")</f>
        <v/>
      </c>
      <c r="M47" s="130" t="str">
        <f>IFERROR(VLOOKUP(E47,'Szakképesítések 21.01.08. PK-k'!$B$2:$C$364,2,0),"")</f>
        <v/>
      </c>
      <c r="N47" s="136" t="str">
        <f>IFERROR(VLOOKUP(E47,'Szakképesítések 21.01.08. PK-k'!$B$2:$K$364,10,0),"")</f>
        <v/>
      </c>
      <c r="O47" s="195" t="str">
        <f t="shared" si="1"/>
        <v/>
      </c>
      <c r="P47" s="98" t="str">
        <f t="shared" si="8"/>
        <v/>
      </c>
      <c r="Q47" s="120" t="str">
        <f t="shared" si="9"/>
        <v/>
      </c>
      <c r="R47" s="126"/>
      <c r="S47" s="98"/>
      <c r="T47" s="98"/>
      <c r="U47" s="98"/>
      <c r="V47" s="98"/>
      <c r="W47" s="98" t="str">
        <f t="shared" si="4"/>
        <v/>
      </c>
      <c r="X47" s="98" t="str">
        <f>IF(T47="","",N47*('Támogatás szorzat tényezői'!$C$6/'Támogatás szorzat tényezői'!$C$4)*U47)</f>
        <v/>
      </c>
      <c r="Y47" s="120" t="str">
        <f t="shared" si="5"/>
        <v/>
      </c>
      <c r="Z47" s="242"/>
      <c r="AA47" s="6"/>
      <c r="AB47" s="6"/>
      <c r="AC47" s="6"/>
      <c r="AD47" s="6"/>
      <c r="AE47" s="241"/>
    </row>
    <row r="48" spans="1:31" ht="30.75" customHeight="1" x14ac:dyDescent="0.25">
      <c r="A48" s="235"/>
      <c r="B48" s="100"/>
      <c r="C48" s="100"/>
      <c r="D48" s="97" t="s">
        <v>3763</v>
      </c>
      <c r="E48" s="100"/>
      <c r="F48" s="99" t="str">
        <f>IFERROR(VLOOKUP(E48,'Szakképesítések 21.01.08. PK-k'!$B$2:$I$364,7,0),"")</f>
        <v/>
      </c>
      <c r="G48" s="99" t="str">
        <f>IFERROR(VLOOKUP(E48,'Szakképesítések 21.01.08. PK-k'!$B$2:$I$364,8,0),"")</f>
        <v/>
      </c>
      <c r="H48" s="101"/>
      <c r="I48" s="101"/>
      <c r="J48" s="102"/>
      <c r="K48" s="102"/>
      <c r="L48" s="96" t="str">
        <f>IFERROR(VLOOKUP(E48,'Szakképesítések 21.01.08. PK-k'!$B$2:$G$364,6,0),"")</f>
        <v/>
      </c>
      <c r="M48" s="130" t="str">
        <f>IFERROR(VLOOKUP(E48,'Szakképesítések 21.01.08. PK-k'!$B$2:$C$364,2,0),"")</f>
        <v/>
      </c>
      <c r="N48" s="136" t="str">
        <f>IFERROR(VLOOKUP(E48,'Szakképesítések 21.01.08. PK-k'!$B$2:$K$364,10,0),"")</f>
        <v/>
      </c>
      <c r="O48" s="195" t="str">
        <f t="shared" si="1"/>
        <v/>
      </c>
      <c r="P48" s="98" t="str">
        <f t="shared" si="8"/>
        <v/>
      </c>
      <c r="Q48" s="120" t="str">
        <f t="shared" si="9"/>
        <v/>
      </c>
      <c r="R48" s="126"/>
      <c r="S48" s="98"/>
      <c r="T48" s="98"/>
      <c r="U48" s="98"/>
      <c r="V48" s="98"/>
      <c r="W48" s="98" t="str">
        <f t="shared" si="4"/>
        <v/>
      </c>
      <c r="X48" s="98" t="str">
        <f>IF(T48="","",N48*('Támogatás szorzat tényezői'!$C$6/'Támogatás szorzat tényezői'!$C$4)*U48)</f>
        <v/>
      </c>
      <c r="Y48" s="120" t="str">
        <f t="shared" si="5"/>
        <v/>
      </c>
      <c r="Z48" s="242"/>
      <c r="AA48" s="6"/>
      <c r="AB48" s="6"/>
      <c r="AC48" s="6"/>
      <c r="AD48" s="6"/>
      <c r="AE48" s="241"/>
    </row>
    <row r="49" spans="1:31" ht="30.75" customHeight="1" x14ac:dyDescent="0.25">
      <c r="A49" s="235"/>
      <c r="B49" s="100"/>
      <c r="C49" s="100"/>
      <c r="D49" s="97" t="s">
        <v>3763</v>
      </c>
      <c r="E49" s="100"/>
      <c r="F49" s="99" t="str">
        <f>IFERROR(VLOOKUP(E49,'Szakképesítések 21.01.08. PK-k'!$B$2:$I$364,7,0),"")</f>
        <v/>
      </c>
      <c r="G49" s="99" t="str">
        <f>IFERROR(VLOOKUP(E49,'Szakképesítések 21.01.08. PK-k'!$B$2:$I$364,8,0),"")</f>
        <v/>
      </c>
      <c r="H49" s="101"/>
      <c r="I49" s="101"/>
      <c r="J49" s="102"/>
      <c r="K49" s="102"/>
      <c r="L49" s="96" t="str">
        <f>IFERROR(VLOOKUP(E49,'Szakképesítések 21.01.08. PK-k'!$B$2:$G$364,6,0),"")</f>
        <v/>
      </c>
      <c r="M49" s="130" t="str">
        <f>IFERROR(VLOOKUP(E49,'Szakképesítések 21.01.08. PK-k'!$B$2:$C$364,2,0),"")</f>
        <v/>
      </c>
      <c r="N49" s="136" t="str">
        <f>IFERROR(VLOOKUP(E49,'Szakképesítések 21.01.08. PK-k'!$B$2:$K$364,10,0),"")</f>
        <v/>
      </c>
      <c r="O49" s="195" t="str">
        <f t="shared" si="1"/>
        <v/>
      </c>
      <c r="P49" s="98" t="str">
        <f t="shared" si="8"/>
        <v/>
      </c>
      <c r="Q49" s="120" t="str">
        <f t="shared" si="9"/>
        <v/>
      </c>
      <c r="R49" s="126"/>
      <c r="S49" s="98"/>
      <c r="T49" s="98"/>
      <c r="U49" s="98"/>
      <c r="V49" s="98"/>
      <c r="W49" s="98" t="str">
        <f t="shared" si="4"/>
        <v/>
      </c>
      <c r="X49" s="98" t="str">
        <f>IF(T49="","",N49*('Támogatás szorzat tényezői'!$C$6/'Támogatás szorzat tényezői'!$C$4)*U49)</f>
        <v/>
      </c>
      <c r="Y49" s="120" t="str">
        <f t="shared" si="5"/>
        <v/>
      </c>
      <c r="Z49" s="242"/>
      <c r="AA49" s="6"/>
      <c r="AB49" s="6"/>
      <c r="AC49" s="6"/>
      <c r="AD49" s="6"/>
      <c r="AE49" s="241"/>
    </row>
    <row r="50" spans="1:31" ht="30.75" customHeight="1" x14ac:dyDescent="0.25">
      <c r="A50" s="235"/>
      <c r="B50" s="100"/>
      <c r="C50" s="100"/>
      <c r="D50" s="97" t="s">
        <v>3763</v>
      </c>
      <c r="E50" s="100"/>
      <c r="F50" s="99" t="str">
        <f>IFERROR(VLOOKUP(E50,'Szakképesítések 21.01.08. PK-k'!$B$2:$I$364,7,0),"")</f>
        <v/>
      </c>
      <c r="G50" s="99" t="str">
        <f>IFERROR(VLOOKUP(E50,'Szakképesítések 21.01.08. PK-k'!$B$2:$I$364,8,0),"")</f>
        <v/>
      </c>
      <c r="H50" s="101"/>
      <c r="I50" s="101"/>
      <c r="J50" s="102"/>
      <c r="K50" s="102"/>
      <c r="L50" s="96" t="str">
        <f>IFERROR(VLOOKUP(E50,'Szakképesítések 21.01.08. PK-k'!$B$2:$G$364,6,0),"")</f>
        <v/>
      </c>
      <c r="M50" s="130" t="str">
        <f>IFERROR(VLOOKUP(E50,'Szakképesítések 21.01.08. PK-k'!$B$2:$C$364,2,0),"")</f>
        <v/>
      </c>
      <c r="N50" s="136" t="str">
        <f>IFERROR(VLOOKUP(E50,'Szakképesítések 21.01.08. PK-k'!$B$2:$K$364,10,0),"")</f>
        <v/>
      </c>
      <c r="O50" s="195" t="str">
        <f t="shared" si="1"/>
        <v/>
      </c>
      <c r="P50" s="98" t="str">
        <f t="shared" si="8"/>
        <v/>
      </c>
      <c r="Q50" s="120" t="str">
        <f t="shared" si="9"/>
        <v/>
      </c>
      <c r="R50" s="126"/>
      <c r="S50" s="98"/>
      <c r="T50" s="98"/>
      <c r="U50" s="98"/>
      <c r="V50" s="98"/>
      <c r="W50" s="98" t="str">
        <f t="shared" si="4"/>
        <v/>
      </c>
      <c r="X50" s="98" t="str">
        <f>IF(T50="","",N50*('Támogatás szorzat tényezői'!$C$6/'Támogatás szorzat tényezői'!$C$4)*U50)</f>
        <v/>
      </c>
      <c r="Y50" s="120" t="str">
        <f t="shared" si="5"/>
        <v/>
      </c>
      <c r="Z50" s="242"/>
      <c r="AA50" s="6"/>
      <c r="AB50" s="6"/>
      <c r="AC50" s="6"/>
      <c r="AD50" s="6"/>
      <c r="AE50" s="241"/>
    </row>
    <row r="51" spans="1:31" ht="30.75" customHeight="1" x14ac:dyDescent="0.25">
      <c r="A51" s="235"/>
      <c r="B51" s="100"/>
      <c r="C51" s="100"/>
      <c r="D51" s="97" t="s">
        <v>3763</v>
      </c>
      <c r="E51" s="100"/>
      <c r="F51" s="99" t="str">
        <f>IFERROR(VLOOKUP(E51,'Szakképesítések 21.01.08. PK-k'!$B$2:$I$364,7,0),"")</f>
        <v/>
      </c>
      <c r="G51" s="99" t="str">
        <f>IFERROR(VLOOKUP(E51,'Szakképesítések 21.01.08. PK-k'!$B$2:$I$364,8,0),"")</f>
        <v/>
      </c>
      <c r="H51" s="101"/>
      <c r="I51" s="101"/>
      <c r="J51" s="102"/>
      <c r="K51" s="102"/>
      <c r="L51" s="96" t="str">
        <f>IFERROR(VLOOKUP(E51,'Szakképesítések 21.01.08. PK-k'!$B$2:$G$364,6,0),"")</f>
        <v/>
      </c>
      <c r="M51" s="130" t="str">
        <f>IFERROR(VLOOKUP(E51,'Szakképesítések 21.01.08. PK-k'!$B$2:$C$364,2,0),"")</f>
        <v/>
      </c>
      <c r="N51" s="136" t="str">
        <f>IFERROR(VLOOKUP(E51,'Szakképesítések 21.01.08. PK-k'!$B$2:$K$364,10,0),"")</f>
        <v/>
      </c>
      <c r="O51" s="195" t="str">
        <f t="shared" si="1"/>
        <v/>
      </c>
      <c r="P51" s="98" t="str">
        <f t="shared" si="8"/>
        <v/>
      </c>
      <c r="Q51" s="120" t="str">
        <f t="shared" si="9"/>
        <v/>
      </c>
      <c r="R51" s="126"/>
      <c r="S51" s="98"/>
      <c r="T51" s="98"/>
      <c r="U51" s="98"/>
      <c r="V51" s="98"/>
      <c r="W51" s="98" t="str">
        <f t="shared" si="4"/>
        <v/>
      </c>
      <c r="X51" s="98" t="str">
        <f>IF(T51="","",N51*('Támogatás szorzat tényezői'!$C$6/'Támogatás szorzat tényezői'!$C$4)*U51)</f>
        <v/>
      </c>
      <c r="Y51" s="120" t="str">
        <f t="shared" si="5"/>
        <v/>
      </c>
      <c r="Z51" s="242"/>
      <c r="AA51" s="6"/>
      <c r="AB51" s="6"/>
      <c r="AC51" s="6"/>
      <c r="AD51" s="6"/>
      <c r="AE51" s="241"/>
    </row>
    <row r="52" spans="1:31" ht="30.75" customHeight="1" x14ac:dyDescent="0.25">
      <c r="A52" s="235"/>
      <c r="B52" s="100"/>
      <c r="C52" s="100"/>
      <c r="D52" s="97" t="s">
        <v>3763</v>
      </c>
      <c r="E52" s="100"/>
      <c r="F52" s="99" t="str">
        <f>IFERROR(VLOOKUP(E52,'Szakképesítések 21.01.08. PK-k'!$B$2:$I$364,7,0),"")</f>
        <v/>
      </c>
      <c r="G52" s="99" t="str">
        <f>IFERROR(VLOOKUP(E52,'Szakképesítések 21.01.08. PK-k'!$B$2:$I$364,8,0),"")</f>
        <v/>
      </c>
      <c r="H52" s="101"/>
      <c r="I52" s="101"/>
      <c r="J52" s="102"/>
      <c r="K52" s="102"/>
      <c r="L52" s="96" t="str">
        <f>IFERROR(VLOOKUP(E52,'Szakképesítések 21.01.08. PK-k'!$B$2:$G$364,6,0),"")</f>
        <v/>
      </c>
      <c r="M52" s="130" t="str">
        <f>IFERROR(VLOOKUP(E52,'Szakképesítések 21.01.08. PK-k'!$B$2:$C$364,2,0),"")</f>
        <v/>
      </c>
      <c r="N52" s="136" t="str">
        <f>IFERROR(VLOOKUP(E52,'Szakképesítések 21.01.08. PK-k'!$B$2:$K$364,10,0),"")</f>
        <v/>
      </c>
      <c r="O52" s="195" t="str">
        <f t="shared" si="1"/>
        <v/>
      </c>
      <c r="P52" s="98" t="str">
        <f t="shared" si="8"/>
        <v/>
      </c>
      <c r="Q52" s="120" t="str">
        <f t="shared" si="9"/>
        <v/>
      </c>
      <c r="R52" s="126"/>
      <c r="S52" s="98"/>
      <c r="T52" s="98"/>
      <c r="U52" s="98"/>
      <c r="V52" s="98"/>
      <c r="W52" s="98" t="str">
        <f t="shared" si="4"/>
        <v/>
      </c>
      <c r="X52" s="98" t="str">
        <f>IF(T52="","",N52*('Támogatás szorzat tényezői'!$C$6/'Támogatás szorzat tényezői'!$C$4)*U52)</f>
        <v/>
      </c>
      <c r="Y52" s="120" t="str">
        <f t="shared" si="5"/>
        <v/>
      </c>
      <c r="Z52" s="242"/>
      <c r="AA52" s="6"/>
      <c r="AB52" s="6"/>
      <c r="AC52" s="6"/>
      <c r="AD52" s="6"/>
      <c r="AE52" s="241"/>
    </row>
    <row r="53" spans="1:31" ht="30.75" customHeight="1" x14ac:dyDescent="0.25">
      <c r="A53" s="235"/>
      <c r="B53" s="100"/>
      <c r="C53" s="100"/>
      <c r="D53" s="97" t="s">
        <v>3763</v>
      </c>
      <c r="E53" s="100"/>
      <c r="F53" s="99" t="str">
        <f>IFERROR(VLOOKUP(E53,'Szakképesítések 21.01.08. PK-k'!$B$2:$I$364,7,0),"")</f>
        <v/>
      </c>
      <c r="G53" s="99" t="str">
        <f>IFERROR(VLOOKUP(E53,'Szakképesítések 21.01.08. PK-k'!$B$2:$I$364,8,0),"")</f>
        <v/>
      </c>
      <c r="H53" s="101"/>
      <c r="I53" s="101"/>
      <c r="J53" s="102"/>
      <c r="K53" s="102"/>
      <c r="L53" s="96" t="str">
        <f>IFERROR(VLOOKUP(E53,'Szakképesítések 21.01.08. PK-k'!$B$2:$G$364,6,0),"")</f>
        <v/>
      </c>
      <c r="M53" s="130" t="str">
        <f>IFERROR(VLOOKUP(E53,'Szakképesítések 21.01.08. PK-k'!$B$2:$C$364,2,0),"")</f>
        <v/>
      </c>
      <c r="N53" s="136" t="str">
        <f>IFERROR(VLOOKUP(E53,'Szakképesítések 21.01.08. PK-k'!$B$2:$K$364,10,0),"")</f>
        <v/>
      </c>
      <c r="O53" s="195" t="str">
        <f t="shared" si="1"/>
        <v/>
      </c>
      <c r="P53" s="98" t="str">
        <f t="shared" si="8"/>
        <v/>
      </c>
      <c r="Q53" s="120" t="str">
        <f t="shared" si="9"/>
        <v/>
      </c>
      <c r="R53" s="126"/>
      <c r="S53" s="98"/>
      <c r="T53" s="98"/>
      <c r="U53" s="98"/>
      <c r="V53" s="98"/>
      <c r="W53" s="98" t="str">
        <f t="shared" si="4"/>
        <v/>
      </c>
      <c r="X53" s="98" t="str">
        <f>IF(T53="","",N53*('Támogatás szorzat tényezői'!$C$6/'Támogatás szorzat tényezői'!$C$4)*U53)</f>
        <v/>
      </c>
      <c r="Y53" s="120" t="str">
        <f t="shared" si="5"/>
        <v/>
      </c>
      <c r="Z53" s="242"/>
      <c r="AA53" s="6"/>
      <c r="AB53" s="6"/>
      <c r="AC53" s="6"/>
      <c r="AD53" s="6"/>
      <c r="AE53" s="241"/>
    </row>
    <row r="54" spans="1:31" x14ac:dyDescent="0.25"/>
    <row r="55" spans="1:31" x14ac:dyDescent="0.25"/>
    <row r="56" spans="1:31" x14ac:dyDescent="0.25"/>
    <row r="57" spans="1:31" x14ac:dyDescent="0.25"/>
    <row r="58" spans="1:31" x14ac:dyDescent="0.25"/>
    <row r="59" spans="1:31" x14ac:dyDescent="0.25"/>
    <row r="60" spans="1:31" x14ac:dyDescent="0.25"/>
    <row r="61" spans="1:31" x14ac:dyDescent="0.25"/>
    <row r="62" spans="1:31" x14ac:dyDescent="0.25"/>
    <row r="63" spans="1:31" x14ac:dyDescent="0.25"/>
    <row r="64" spans="1:31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</sheetData>
  <sheetProtection insertRows="0" deleteRows="0" autoFilter="0"/>
  <autoFilter ref="A3:AE3"/>
  <dataConsolidate/>
  <conditionalFormatting sqref="H4:K53 A4:E53">
    <cfRule type="containsBlanks" dxfId="380" priority="13">
      <formula>LEN(TRIM(A4))=0</formula>
    </cfRule>
  </conditionalFormatting>
  <conditionalFormatting sqref="H4:H53">
    <cfRule type="expression" dxfId="379" priority="12">
      <formula>G4="n.a."</formula>
    </cfRule>
  </conditionalFormatting>
  <conditionalFormatting sqref="R4:V53">
    <cfRule type="containsBlanks" dxfId="378" priority="10">
      <formula>LEN(TRIM(R4))=0</formula>
    </cfRule>
  </conditionalFormatting>
  <conditionalFormatting sqref="Z4:AE53">
    <cfRule type="containsText" dxfId="377" priority="9" operator="containsText" text="hibás">
      <formula>NOT(ISERROR(SEARCH("hibás",Z4)))</formula>
    </cfRule>
  </conditionalFormatting>
  <conditionalFormatting sqref="AA2">
    <cfRule type="expression" dxfId="376" priority="7">
      <formula>$AB$2&gt;0</formula>
    </cfRule>
    <cfRule type="expression" dxfId="375" priority="8">
      <formula>$AB$2=0</formula>
    </cfRule>
  </conditionalFormatting>
  <conditionalFormatting sqref="C2:D2">
    <cfRule type="expression" dxfId="374" priority="1">
      <formula>$D$2&gt;0</formula>
    </cfRule>
    <cfRule type="expression" dxfId="373" priority="2">
      <formula>$D$2=0</formula>
    </cfRule>
  </conditionalFormatting>
  <dataValidations count="14">
    <dataValidation type="whole" operator="greaterThanOrEqual" allowBlank="1" showInputMessage="1" showErrorMessage="1" sqref="J4:K53">
      <formula1>0</formula1>
    </dataValidation>
    <dataValidation operator="greaterThan" allowBlank="1" showInputMessage="1" showErrorMessage="1" sqref="L4:M53"/>
    <dataValidation type="whole" operator="lessThanOrEqual" allowBlank="1" showInputMessage="1" showErrorMessage="1" error="A cella értéke csak egész szám lehet és nem lehet nagyobb, mint a sor &quot;R&quot; oszlop szerinti értéke." sqref="S4">
      <formula1>R4</formula1>
    </dataValidation>
    <dataValidation type="whole" operator="lessThanOrEqual" allowBlank="1" showInputMessage="1" showErrorMessage="1" error="A cella értéke csak egész szám lehet és nem lehet nagyobb, mint a sor &quot;S&quot; oszlop szerinti értéke." sqref="T4">
      <formula1>S4</formula1>
    </dataValidation>
    <dataValidation type="whole" operator="lessThanOrEqual" allowBlank="1" showInputMessage="1" showErrorMessage="1" error="A cella értéke csak egész szám lehet és nem lehet nagyobb, mint a sor &quot;S&quot; és &quot;T&quot; oszlop szerinti értékének a különbözete." sqref="U4">
      <formula1>S4-T4</formula1>
    </dataValidation>
    <dataValidation type="whole" operator="lessThanOrEqual" allowBlank="1" showInputMessage="1" showErrorMessage="1" error="A cella értéke csak egész szám lehet és nem lehet nagyobb, mint a sor &quot;I&quot; oszlop szerinti értéke. Amennyiben a ténylegesen megvalósult órák száma magasabb, mint a tervezett, akkor a tervezett órák számát szükséges módosítani." sqref="V4">
      <formula1>I4</formula1>
    </dataValidation>
    <dataValidation type="list" allowBlank="1" showInputMessage="1" showErrorMessage="1" sqref="B4:C53">
      <formula1>INDIRECT(A4)</formula1>
    </dataValidation>
    <dataValidation type="whole" allowBlank="1" showInputMessage="1" showErrorMessage="1" sqref="H4:H53">
      <formula1>F4</formula1>
      <formula2>G4</formula2>
    </dataValidation>
    <dataValidation type="whole" allowBlank="1" showInputMessage="1" showErrorMessage="1" sqref="I4:I53">
      <formula1>1</formula1>
      <formula2>H4</formula2>
    </dataValidation>
    <dataValidation type="whole" operator="lessThanOrEqual" allowBlank="1" showInputMessage="1" showErrorMessage="1" sqref="V5:V53">
      <formula1>I5</formula1>
    </dataValidation>
    <dataValidation type="whole" operator="lessThanOrEqual" allowBlank="1" showInputMessage="1" showErrorMessage="1" sqref="S5:T53">
      <formula1>R5</formula1>
    </dataValidation>
    <dataValidation type="whole" operator="lessThanOrEqual" allowBlank="1" showInputMessage="1" showErrorMessage="1" sqref="U5:U53">
      <formula1>S5-T5</formula1>
    </dataValidation>
    <dataValidation type="whole" operator="greaterThanOrEqual" allowBlank="1" showInputMessage="1" showErrorMessage="1" error="A cella értéke csak egész szám lehet és nem lehet kisebb, mint a sor &quot;J&quot; oszlop szerinti értéke. Amennyiben a sor &quot;J&quot; oszlop szerinti adata hibás, először annak javítása szükséges." sqref="R4:R53">
      <formula1>J4</formula1>
    </dataValidation>
    <dataValidation type="list" allowBlank="1" showInputMessage="1" showErrorMessage="1" sqref="E4:E53">
      <formula1>INDIRECT($D4)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scale="40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Háttértáblák!$Z$19</xm:f>
          </x14:formula1>
          <xm:sqref>D4:D53</xm:sqref>
        </x14:dataValidation>
        <x14:dataValidation type="list" allowBlank="1" showInputMessage="1" showErrorMessage="1">
          <x14:formula1>
            <xm:f>Háttértáblák!$A$2:$A$9</xm:f>
          </x14:formula1>
          <xm:sqref>A4:A53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M23"/>
  <sheetViews>
    <sheetView zoomScale="80" zoomScaleNormal="80" zoomScaleSheetLayoutView="80" workbookViewId="0"/>
  </sheetViews>
  <sheetFormatPr defaultColWidth="9.140625" defaultRowHeight="15" x14ac:dyDescent="0.25"/>
  <cols>
    <col min="1" max="1" width="20.85546875" style="106" customWidth="1"/>
    <col min="2" max="2" width="18.85546875" style="106" customWidth="1"/>
    <col min="3" max="3" width="38" style="106" customWidth="1"/>
    <col min="4" max="4" width="19" style="106" customWidth="1"/>
    <col min="5" max="5" width="43.5703125" style="106" customWidth="1"/>
    <col min="6" max="6" width="14.28515625" style="106" customWidth="1"/>
    <col min="7" max="9" width="12.85546875" style="106" customWidth="1"/>
    <col min="10" max="10" width="19.5703125" style="106" customWidth="1"/>
    <col min="11" max="11" width="17.7109375" style="106" customWidth="1"/>
    <col min="12" max="12" width="52.42578125" style="106" customWidth="1"/>
    <col min="13" max="13" width="9.140625" style="106" customWidth="1"/>
    <col min="14" max="16384" width="9.140625" style="106"/>
  </cols>
  <sheetData>
    <row r="1" spans="1:13" ht="30" x14ac:dyDescent="0.25">
      <c r="A1" s="228" t="s">
        <v>2813</v>
      </c>
      <c r="B1" s="18"/>
      <c r="C1" s="18"/>
      <c r="D1" s="18"/>
      <c r="E1" s="147" t="s">
        <v>381</v>
      </c>
      <c r="F1" s="18"/>
      <c r="G1" s="152"/>
      <c r="H1" s="153" t="s">
        <v>382</v>
      </c>
      <c r="I1" s="154"/>
      <c r="J1" s="145" t="s">
        <v>1895</v>
      </c>
      <c r="K1" s="146"/>
      <c r="L1" s="260" t="s">
        <v>2825</v>
      </c>
    </row>
    <row r="2" spans="1:13" ht="30.75" customHeight="1" x14ac:dyDescent="0.25">
      <c r="A2" s="230" t="s">
        <v>366</v>
      </c>
      <c r="B2" s="148"/>
      <c r="C2" s="259" t="s">
        <v>2826</v>
      </c>
      <c r="D2" s="269">
        <f>COUNTBLANK(A4:C23)+COUNTBLANK(F4:F23)</f>
        <v>80</v>
      </c>
      <c r="E2" s="148"/>
      <c r="F2" s="149">
        <f>SUM(F4:F23)</f>
        <v>0</v>
      </c>
      <c r="G2" s="155"/>
      <c r="H2" s="132">
        <f>SUM(H4:H23)</f>
        <v>0</v>
      </c>
      <c r="I2" s="125">
        <f>SUM(I4:I23)</f>
        <v>0</v>
      </c>
      <c r="J2" s="124">
        <f>SUM(J4:J23)</f>
        <v>0</v>
      </c>
      <c r="K2" s="125">
        <f>SUM(K4:K23)</f>
        <v>0</v>
      </c>
      <c r="L2" s="261" t="str">
        <f>"LOGIKAI HIBÁK SZÁMA: "&amp;M2</f>
        <v>LOGIKAI HIBÁK SZÁMA: 0</v>
      </c>
      <c r="M2" s="264">
        <f>COUNTIF(L4:L23,"Az ''F'' és/vagy a ''J'' oszlop értéke hibás! Kérjük balról jobbra haladva adja meg a helyes értékeket.")</f>
        <v>0</v>
      </c>
    </row>
    <row r="3" spans="1:13" ht="142.5" customHeight="1" x14ac:dyDescent="0.25">
      <c r="A3" s="118" t="s">
        <v>1791</v>
      </c>
      <c r="B3" s="42" t="s">
        <v>1792</v>
      </c>
      <c r="C3" s="42" t="s">
        <v>1898</v>
      </c>
      <c r="D3" s="42" t="s">
        <v>368</v>
      </c>
      <c r="E3" s="42" t="s">
        <v>1899</v>
      </c>
      <c r="F3" s="150" t="s">
        <v>1900</v>
      </c>
      <c r="G3" s="133" t="s">
        <v>874</v>
      </c>
      <c r="H3" s="134" t="s">
        <v>1901</v>
      </c>
      <c r="I3" s="135" t="s">
        <v>1612</v>
      </c>
      <c r="J3" s="118" t="s">
        <v>1902</v>
      </c>
      <c r="K3" s="135" t="s">
        <v>2832</v>
      </c>
      <c r="L3" s="262" t="s">
        <v>2824</v>
      </c>
    </row>
    <row r="4" spans="1:13" ht="30" customHeight="1" x14ac:dyDescent="0.25">
      <c r="A4" s="235"/>
      <c r="B4" s="100"/>
      <c r="C4" s="100"/>
      <c r="D4" s="97" t="s">
        <v>1268</v>
      </c>
      <c r="E4" s="100" t="s">
        <v>1846</v>
      </c>
      <c r="F4" s="151"/>
      <c r="G4" s="136">
        <f>'Támogatás szorzat tényezői'!$C$10*('Támogatás szorzat tényezői'!$C$15/'Támogatás szorzat tényezői'!$C$14)</f>
        <v>240000</v>
      </c>
      <c r="H4" s="98">
        <f>F4*G4</f>
        <v>0</v>
      </c>
      <c r="I4" s="120">
        <f t="shared" ref="I4:I6" si="0">H4</f>
        <v>0</v>
      </c>
      <c r="J4" s="119"/>
      <c r="K4" s="127">
        <f>G4*J4</f>
        <v>0</v>
      </c>
      <c r="L4" s="263" t="str">
        <f>IF(OR(F4="",J4=""),"",IF(J4&lt;F4,"Az ''F'' és/vagy a ''J'' oszlop értéke hibás! Kérjük balról jobbra haladva adja meg a helyes értékeket.",""))</f>
        <v/>
      </c>
    </row>
    <row r="5" spans="1:13" ht="30" customHeight="1" x14ac:dyDescent="0.25">
      <c r="A5" s="235"/>
      <c r="B5" s="100"/>
      <c r="C5" s="100"/>
      <c r="D5" s="97" t="s">
        <v>1268</v>
      </c>
      <c r="E5" s="100" t="s">
        <v>1846</v>
      </c>
      <c r="F5" s="151"/>
      <c r="G5" s="136">
        <f>'Támogatás szorzat tényezői'!$C$10*('Támogatás szorzat tényezői'!$C$15/'Támogatás szorzat tényezői'!$C$14)</f>
        <v>240000</v>
      </c>
      <c r="H5" s="98">
        <f>F5*G5</f>
        <v>0</v>
      </c>
      <c r="I5" s="120">
        <f t="shared" si="0"/>
        <v>0</v>
      </c>
      <c r="J5" s="119"/>
      <c r="K5" s="127">
        <f t="shared" ref="K5:K6" si="1">G5*J5</f>
        <v>0</v>
      </c>
      <c r="L5" s="263" t="str">
        <f t="shared" ref="L5:L23" si="2">IF(OR(F5="",J5=""),"",IF(J5&lt;F5,"Az ''F'' és/vagy a ''J'' oszlop értéke hibás! Kérjük balról jobbra haladva adja meg a helyes értékeket.",""))</f>
        <v/>
      </c>
    </row>
    <row r="6" spans="1:13" ht="30" customHeight="1" x14ac:dyDescent="0.25">
      <c r="A6" s="235"/>
      <c r="B6" s="100"/>
      <c r="C6" s="100"/>
      <c r="D6" s="97" t="s">
        <v>1268</v>
      </c>
      <c r="E6" s="100" t="s">
        <v>1846</v>
      </c>
      <c r="F6" s="151"/>
      <c r="G6" s="136">
        <f>'Támogatás szorzat tényezői'!$C$10*('Támogatás szorzat tényezői'!$C$15/'Támogatás szorzat tényezői'!$C$14)</f>
        <v>240000</v>
      </c>
      <c r="H6" s="98">
        <f>F6*G6</f>
        <v>0</v>
      </c>
      <c r="I6" s="120">
        <f t="shared" si="0"/>
        <v>0</v>
      </c>
      <c r="J6" s="119"/>
      <c r="K6" s="127">
        <f t="shared" si="1"/>
        <v>0</v>
      </c>
      <c r="L6" s="263" t="str">
        <f t="shared" si="2"/>
        <v/>
      </c>
    </row>
    <row r="7" spans="1:13" ht="30" customHeight="1" x14ac:dyDescent="0.25">
      <c r="A7" s="235"/>
      <c r="B7" s="100"/>
      <c r="C7" s="100"/>
      <c r="D7" s="97" t="s">
        <v>1268</v>
      </c>
      <c r="E7" s="100" t="s">
        <v>1846</v>
      </c>
      <c r="F7" s="151"/>
      <c r="G7" s="136">
        <f>'Támogatás szorzat tényezői'!$C$10*('Támogatás szorzat tényezői'!$C$15/'Támogatás szorzat tényezői'!$C$14)</f>
        <v>240000</v>
      </c>
      <c r="H7" s="98">
        <f>F7*G7</f>
        <v>0</v>
      </c>
      <c r="I7" s="120">
        <f t="shared" ref="I7:I8" si="3">H7</f>
        <v>0</v>
      </c>
      <c r="J7" s="119"/>
      <c r="K7" s="127">
        <f>G7*J7</f>
        <v>0</v>
      </c>
      <c r="L7" s="263" t="str">
        <f t="shared" si="2"/>
        <v/>
      </c>
    </row>
    <row r="8" spans="1:13" ht="30" customHeight="1" x14ac:dyDescent="0.25">
      <c r="A8" s="235"/>
      <c r="B8" s="100"/>
      <c r="C8" s="100"/>
      <c r="D8" s="97" t="s">
        <v>1268</v>
      </c>
      <c r="E8" s="100" t="s">
        <v>1846</v>
      </c>
      <c r="F8" s="151"/>
      <c r="G8" s="136">
        <f>'Támogatás szorzat tényezői'!$C$10*('Támogatás szorzat tényezői'!$C$15/'Támogatás szorzat tényezői'!$C$14)</f>
        <v>240000</v>
      </c>
      <c r="H8" s="98">
        <f>F8*G8</f>
        <v>0</v>
      </c>
      <c r="I8" s="120">
        <f t="shared" si="3"/>
        <v>0</v>
      </c>
      <c r="J8" s="119"/>
      <c r="K8" s="127">
        <f t="shared" ref="K8" si="4">G8*J8</f>
        <v>0</v>
      </c>
      <c r="L8" s="263" t="str">
        <f t="shared" si="2"/>
        <v/>
      </c>
    </row>
    <row r="9" spans="1:13" ht="30" customHeight="1" x14ac:dyDescent="0.25">
      <c r="A9" s="235"/>
      <c r="B9" s="100"/>
      <c r="C9" s="100"/>
      <c r="D9" s="97" t="s">
        <v>1268</v>
      </c>
      <c r="E9" s="100" t="s">
        <v>1846</v>
      </c>
      <c r="F9" s="151"/>
      <c r="G9" s="136">
        <f>'Támogatás szorzat tényezői'!$C$10*('Támogatás szorzat tényezői'!$C$15/'Támogatás szorzat tényezői'!$C$14)</f>
        <v>240000</v>
      </c>
      <c r="H9" s="98">
        <f t="shared" ref="H9:H13" si="5">F9*G9</f>
        <v>0</v>
      </c>
      <c r="I9" s="120">
        <f t="shared" ref="I9:I13" si="6">H9</f>
        <v>0</v>
      </c>
      <c r="J9" s="119"/>
      <c r="K9" s="127">
        <f t="shared" ref="K9:K13" si="7">G9*J9</f>
        <v>0</v>
      </c>
      <c r="L9" s="263" t="str">
        <f t="shared" si="2"/>
        <v/>
      </c>
    </row>
    <row r="10" spans="1:13" ht="30" customHeight="1" x14ac:dyDescent="0.25">
      <c r="A10" s="235"/>
      <c r="B10" s="100"/>
      <c r="C10" s="100"/>
      <c r="D10" s="97" t="s">
        <v>1268</v>
      </c>
      <c r="E10" s="100" t="s">
        <v>1846</v>
      </c>
      <c r="F10" s="151"/>
      <c r="G10" s="136">
        <f>'Támogatás szorzat tényezői'!$C$10*('Támogatás szorzat tényezői'!$C$15/'Támogatás szorzat tényezői'!$C$14)</f>
        <v>240000</v>
      </c>
      <c r="H10" s="98">
        <f t="shared" si="5"/>
        <v>0</v>
      </c>
      <c r="I10" s="120">
        <f t="shared" si="6"/>
        <v>0</v>
      </c>
      <c r="J10" s="119"/>
      <c r="K10" s="127">
        <f t="shared" si="7"/>
        <v>0</v>
      </c>
      <c r="L10" s="263" t="str">
        <f t="shared" si="2"/>
        <v/>
      </c>
    </row>
    <row r="11" spans="1:13" ht="30" customHeight="1" x14ac:dyDescent="0.25">
      <c r="A11" s="235"/>
      <c r="B11" s="100"/>
      <c r="C11" s="100"/>
      <c r="D11" s="97" t="s">
        <v>1268</v>
      </c>
      <c r="E11" s="100" t="s">
        <v>1846</v>
      </c>
      <c r="F11" s="151"/>
      <c r="G11" s="136">
        <f>'Támogatás szorzat tényezői'!$C$10*('Támogatás szorzat tényezői'!$C$15/'Támogatás szorzat tényezői'!$C$14)</f>
        <v>240000</v>
      </c>
      <c r="H11" s="98">
        <f t="shared" si="5"/>
        <v>0</v>
      </c>
      <c r="I11" s="120">
        <f t="shared" si="6"/>
        <v>0</v>
      </c>
      <c r="J11" s="119"/>
      <c r="K11" s="127">
        <f t="shared" si="7"/>
        <v>0</v>
      </c>
      <c r="L11" s="263" t="str">
        <f t="shared" si="2"/>
        <v/>
      </c>
    </row>
    <row r="12" spans="1:13" ht="30" customHeight="1" x14ac:dyDescent="0.25">
      <c r="A12" s="235"/>
      <c r="B12" s="100"/>
      <c r="C12" s="100"/>
      <c r="D12" s="97" t="s">
        <v>1268</v>
      </c>
      <c r="E12" s="100" t="s">
        <v>1846</v>
      </c>
      <c r="F12" s="151"/>
      <c r="G12" s="136">
        <f>'Támogatás szorzat tényezői'!$C$10*('Támogatás szorzat tényezői'!$C$15/'Támogatás szorzat tényezői'!$C$14)</f>
        <v>240000</v>
      </c>
      <c r="H12" s="98">
        <f t="shared" si="5"/>
        <v>0</v>
      </c>
      <c r="I12" s="120">
        <f t="shared" si="6"/>
        <v>0</v>
      </c>
      <c r="J12" s="119"/>
      <c r="K12" s="127">
        <f t="shared" si="7"/>
        <v>0</v>
      </c>
      <c r="L12" s="263" t="str">
        <f t="shared" si="2"/>
        <v/>
      </c>
    </row>
    <row r="13" spans="1:13" ht="30" customHeight="1" x14ac:dyDescent="0.25">
      <c r="A13" s="235"/>
      <c r="B13" s="100"/>
      <c r="C13" s="100"/>
      <c r="D13" s="97" t="s">
        <v>1268</v>
      </c>
      <c r="E13" s="100" t="s">
        <v>1846</v>
      </c>
      <c r="F13" s="151"/>
      <c r="G13" s="136">
        <f>'Támogatás szorzat tényezői'!$C$10*('Támogatás szorzat tényezői'!$C$15/'Támogatás szorzat tényezői'!$C$14)</f>
        <v>240000</v>
      </c>
      <c r="H13" s="98">
        <f t="shared" si="5"/>
        <v>0</v>
      </c>
      <c r="I13" s="120">
        <f t="shared" si="6"/>
        <v>0</v>
      </c>
      <c r="J13" s="119"/>
      <c r="K13" s="127">
        <f t="shared" si="7"/>
        <v>0</v>
      </c>
      <c r="L13" s="263" t="str">
        <f t="shared" si="2"/>
        <v/>
      </c>
    </row>
    <row r="14" spans="1:13" ht="24" x14ac:dyDescent="0.25">
      <c r="A14" s="235"/>
      <c r="B14" s="100"/>
      <c r="C14" s="100"/>
      <c r="D14" s="97" t="s">
        <v>1268</v>
      </c>
      <c r="E14" s="100" t="s">
        <v>1846</v>
      </c>
      <c r="F14" s="151"/>
      <c r="G14" s="136">
        <f>'Támogatás szorzat tényezői'!$C$10*('Támogatás szorzat tényezői'!$C$15/'Támogatás szorzat tényezői'!$C$14)</f>
        <v>240000</v>
      </c>
      <c r="H14" s="98">
        <f t="shared" ref="H14:H23" si="8">F14*G14</f>
        <v>0</v>
      </c>
      <c r="I14" s="120">
        <f t="shared" ref="I14:I23" si="9">H14</f>
        <v>0</v>
      </c>
      <c r="J14" s="119"/>
      <c r="K14" s="127">
        <f t="shared" ref="K14:K23" si="10">G14*J14</f>
        <v>0</v>
      </c>
      <c r="L14" s="263" t="str">
        <f t="shared" si="2"/>
        <v/>
      </c>
    </row>
    <row r="15" spans="1:13" ht="24" x14ac:dyDescent="0.25">
      <c r="A15" s="235"/>
      <c r="B15" s="100"/>
      <c r="C15" s="100"/>
      <c r="D15" s="97" t="s">
        <v>1268</v>
      </c>
      <c r="E15" s="100" t="s">
        <v>1846</v>
      </c>
      <c r="F15" s="151"/>
      <c r="G15" s="136">
        <f>'Támogatás szorzat tényezői'!$C$10*('Támogatás szorzat tényezői'!$C$15/'Támogatás szorzat tényezői'!$C$14)</f>
        <v>240000</v>
      </c>
      <c r="H15" s="98">
        <f t="shared" si="8"/>
        <v>0</v>
      </c>
      <c r="I15" s="120">
        <f t="shared" si="9"/>
        <v>0</v>
      </c>
      <c r="J15" s="119"/>
      <c r="K15" s="127">
        <f t="shared" si="10"/>
        <v>0</v>
      </c>
      <c r="L15" s="263" t="str">
        <f t="shared" si="2"/>
        <v/>
      </c>
    </row>
    <row r="16" spans="1:13" ht="24" x14ac:dyDescent="0.25">
      <c r="A16" s="235"/>
      <c r="B16" s="100"/>
      <c r="C16" s="100"/>
      <c r="D16" s="97" t="s">
        <v>1268</v>
      </c>
      <c r="E16" s="100" t="s">
        <v>1846</v>
      </c>
      <c r="F16" s="151"/>
      <c r="G16" s="136">
        <f>'Támogatás szorzat tényezői'!$C$10*('Támogatás szorzat tényezői'!$C$15/'Támogatás szorzat tényezői'!$C$14)</f>
        <v>240000</v>
      </c>
      <c r="H16" s="98">
        <f t="shared" si="8"/>
        <v>0</v>
      </c>
      <c r="I16" s="120">
        <f t="shared" si="9"/>
        <v>0</v>
      </c>
      <c r="J16" s="119"/>
      <c r="K16" s="127">
        <f t="shared" si="10"/>
        <v>0</v>
      </c>
      <c r="L16" s="263" t="str">
        <f t="shared" si="2"/>
        <v/>
      </c>
    </row>
    <row r="17" spans="1:12" ht="24" x14ac:dyDescent="0.25">
      <c r="A17" s="235"/>
      <c r="B17" s="100"/>
      <c r="C17" s="100"/>
      <c r="D17" s="97" t="s">
        <v>1268</v>
      </c>
      <c r="E17" s="100" t="s">
        <v>1846</v>
      </c>
      <c r="F17" s="151"/>
      <c r="G17" s="136">
        <f>'Támogatás szorzat tényezői'!$C$10*('Támogatás szorzat tényezői'!$C$15/'Támogatás szorzat tényezői'!$C$14)</f>
        <v>240000</v>
      </c>
      <c r="H17" s="98">
        <f t="shared" si="8"/>
        <v>0</v>
      </c>
      <c r="I17" s="120">
        <f t="shared" si="9"/>
        <v>0</v>
      </c>
      <c r="J17" s="119"/>
      <c r="K17" s="127">
        <f t="shared" si="10"/>
        <v>0</v>
      </c>
      <c r="L17" s="263" t="str">
        <f t="shared" si="2"/>
        <v/>
      </c>
    </row>
    <row r="18" spans="1:12" ht="24" x14ac:dyDescent="0.25">
      <c r="A18" s="235"/>
      <c r="B18" s="100"/>
      <c r="C18" s="100"/>
      <c r="D18" s="97" t="s">
        <v>1268</v>
      </c>
      <c r="E18" s="100" t="s">
        <v>1846</v>
      </c>
      <c r="F18" s="151"/>
      <c r="G18" s="136">
        <f>'Támogatás szorzat tényezői'!$C$10*('Támogatás szorzat tényezői'!$C$15/'Támogatás szorzat tényezői'!$C$14)</f>
        <v>240000</v>
      </c>
      <c r="H18" s="98">
        <f t="shared" si="8"/>
        <v>0</v>
      </c>
      <c r="I18" s="120">
        <f t="shared" si="9"/>
        <v>0</v>
      </c>
      <c r="J18" s="119"/>
      <c r="K18" s="127">
        <f t="shared" si="10"/>
        <v>0</v>
      </c>
      <c r="L18" s="263" t="str">
        <f t="shared" si="2"/>
        <v/>
      </c>
    </row>
    <row r="19" spans="1:12" ht="24" x14ac:dyDescent="0.25">
      <c r="A19" s="235"/>
      <c r="B19" s="100"/>
      <c r="C19" s="100"/>
      <c r="D19" s="97" t="s">
        <v>1268</v>
      </c>
      <c r="E19" s="100" t="s">
        <v>1846</v>
      </c>
      <c r="F19" s="151"/>
      <c r="G19" s="136">
        <f>'Támogatás szorzat tényezői'!$C$10*('Támogatás szorzat tényezői'!$C$15/'Támogatás szorzat tényezői'!$C$14)</f>
        <v>240000</v>
      </c>
      <c r="H19" s="98">
        <f t="shared" si="8"/>
        <v>0</v>
      </c>
      <c r="I19" s="120">
        <f t="shared" si="9"/>
        <v>0</v>
      </c>
      <c r="J19" s="119"/>
      <c r="K19" s="127">
        <f t="shared" si="10"/>
        <v>0</v>
      </c>
      <c r="L19" s="263" t="str">
        <f t="shared" si="2"/>
        <v/>
      </c>
    </row>
    <row r="20" spans="1:12" ht="24" x14ac:dyDescent="0.25">
      <c r="A20" s="235"/>
      <c r="B20" s="100"/>
      <c r="C20" s="100"/>
      <c r="D20" s="97" t="s">
        <v>1268</v>
      </c>
      <c r="E20" s="100" t="s">
        <v>1846</v>
      </c>
      <c r="F20" s="151"/>
      <c r="G20" s="136">
        <f>'Támogatás szorzat tényezői'!$C$10*('Támogatás szorzat tényezői'!$C$15/'Támogatás szorzat tényezői'!$C$14)</f>
        <v>240000</v>
      </c>
      <c r="H20" s="98">
        <f t="shared" si="8"/>
        <v>0</v>
      </c>
      <c r="I20" s="120">
        <f t="shared" si="9"/>
        <v>0</v>
      </c>
      <c r="J20" s="119"/>
      <c r="K20" s="127">
        <f t="shared" si="10"/>
        <v>0</v>
      </c>
      <c r="L20" s="263" t="str">
        <f t="shared" si="2"/>
        <v/>
      </c>
    </row>
    <row r="21" spans="1:12" ht="24" x14ac:dyDescent="0.25">
      <c r="A21" s="235"/>
      <c r="B21" s="100"/>
      <c r="C21" s="100"/>
      <c r="D21" s="97" t="s">
        <v>1268</v>
      </c>
      <c r="E21" s="100" t="s">
        <v>1846</v>
      </c>
      <c r="F21" s="151"/>
      <c r="G21" s="136">
        <f>'Támogatás szorzat tényezői'!$C$10*('Támogatás szorzat tényezői'!$C$15/'Támogatás szorzat tényezői'!$C$14)</f>
        <v>240000</v>
      </c>
      <c r="H21" s="98">
        <f t="shared" si="8"/>
        <v>0</v>
      </c>
      <c r="I21" s="120">
        <f t="shared" si="9"/>
        <v>0</v>
      </c>
      <c r="J21" s="119"/>
      <c r="K21" s="127">
        <f t="shared" si="10"/>
        <v>0</v>
      </c>
      <c r="L21" s="263" t="str">
        <f t="shared" si="2"/>
        <v/>
      </c>
    </row>
    <row r="22" spans="1:12" ht="24" x14ac:dyDescent="0.25">
      <c r="A22" s="235"/>
      <c r="B22" s="100"/>
      <c r="C22" s="100"/>
      <c r="D22" s="97" t="s">
        <v>1268</v>
      </c>
      <c r="E22" s="100" t="s">
        <v>1846</v>
      </c>
      <c r="F22" s="151"/>
      <c r="G22" s="136">
        <f>'Támogatás szorzat tényezői'!$C$10*('Támogatás szorzat tényezői'!$C$15/'Támogatás szorzat tényezői'!$C$14)</f>
        <v>240000</v>
      </c>
      <c r="H22" s="98">
        <f t="shared" si="8"/>
        <v>0</v>
      </c>
      <c r="I22" s="120">
        <f t="shared" si="9"/>
        <v>0</v>
      </c>
      <c r="J22" s="119"/>
      <c r="K22" s="127">
        <f t="shared" si="10"/>
        <v>0</v>
      </c>
      <c r="L22" s="263" t="str">
        <f t="shared" si="2"/>
        <v/>
      </c>
    </row>
    <row r="23" spans="1:12" ht="24" x14ac:dyDescent="0.25">
      <c r="A23" s="235"/>
      <c r="B23" s="100"/>
      <c r="C23" s="100"/>
      <c r="D23" s="97" t="s">
        <v>1268</v>
      </c>
      <c r="E23" s="100" t="s">
        <v>1846</v>
      </c>
      <c r="F23" s="151"/>
      <c r="G23" s="136">
        <f>'Támogatás szorzat tényezői'!$C$10*('Támogatás szorzat tényezői'!$C$15/'Támogatás szorzat tényezői'!$C$14)</f>
        <v>240000</v>
      </c>
      <c r="H23" s="98">
        <f t="shared" si="8"/>
        <v>0</v>
      </c>
      <c r="I23" s="120">
        <f t="shared" si="9"/>
        <v>0</v>
      </c>
      <c r="J23" s="119"/>
      <c r="K23" s="127">
        <f t="shared" si="10"/>
        <v>0</v>
      </c>
      <c r="L23" s="263" t="str">
        <f t="shared" si="2"/>
        <v/>
      </c>
    </row>
  </sheetData>
  <sheetProtection insertRows="0" deleteRows="0" autoFilter="0"/>
  <autoFilter ref="B3:K3"/>
  <conditionalFormatting sqref="B4:F23">
    <cfRule type="containsBlanks" dxfId="372" priority="8">
      <formula>LEN(TRIM(B4))=0</formula>
    </cfRule>
  </conditionalFormatting>
  <conditionalFormatting sqref="J4:J23">
    <cfRule type="containsBlanks" dxfId="371" priority="7">
      <formula>LEN(TRIM(J4))=0</formula>
    </cfRule>
  </conditionalFormatting>
  <conditionalFormatting sqref="A4:A23">
    <cfRule type="containsBlanks" dxfId="370" priority="6">
      <formula>LEN(TRIM(A4))=0</formula>
    </cfRule>
  </conditionalFormatting>
  <conditionalFormatting sqref="L2">
    <cfRule type="expression" dxfId="369" priority="4">
      <formula>$M$2&gt;0</formula>
    </cfRule>
    <cfRule type="expression" dxfId="368" priority="5">
      <formula>$M$2=0</formula>
    </cfRule>
  </conditionalFormatting>
  <conditionalFormatting sqref="L4:L23">
    <cfRule type="containsText" dxfId="367" priority="3" operator="containsText" text="hibás">
      <formula>NOT(ISERROR(SEARCH("hibás",L4)))</formula>
    </cfRule>
  </conditionalFormatting>
  <conditionalFormatting sqref="C2:D2">
    <cfRule type="expression" dxfId="366" priority="1">
      <formula>$D$2&gt;0</formula>
    </cfRule>
    <cfRule type="expression" dxfId="365" priority="2">
      <formula>$D$2=0</formula>
    </cfRule>
  </conditionalFormatting>
  <dataValidations count="3">
    <dataValidation type="whole" operator="greaterThan" allowBlank="1" showInputMessage="1" showErrorMessage="1" sqref="F4:F23">
      <formula1>0</formula1>
    </dataValidation>
    <dataValidation type="list" allowBlank="1" showInputMessage="1" showErrorMessage="1" sqref="B4:C23">
      <formula1>INDIRECT(A4)</formula1>
    </dataValidation>
    <dataValidation type="whole" operator="greaterThanOrEqual" allowBlank="1" showInputMessage="1" showErrorMessage="1" error="A cella értéke csak egész szám lehet és nem lehet kisebb, mint a sor &quot;F&quot; oszlop szerinti értéke. Amennyiben a sor &quot;F&quot; oszlop szerinti adata hibás, először annak javítása szükséges." sqref="J4:J23">
      <formula1>F4</formula1>
    </dataValidation>
  </dataValidations>
  <pageMargins left="0.51181102362204722" right="0.51181102362204722" top="0.55118110236220474" bottom="0.55118110236220474" header="0.31496062992125984" footer="0.31496062992125984"/>
  <pageSetup paperSize="9" scale="64" fitToHeight="0" orientation="landscape" r:id="rId1"/>
  <headerFooter>
    <oddFooter>&amp;C&amp;N / 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Háttértáblák!$Z$6</xm:f>
          </x14:formula1>
          <xm:sqref>D4:D23</xm:sqref>
        </x14:dataValidation>
        <x14:dataValidation type="list" allowBlank="1" showInputMessage="1" showErrorMessage="1">
          <x14:formula1>
            <xm:f>Háttértáblák!$X$7</xm:f>
          </x14:formula1>
          <xm:sqref>E4:E23</xm:sqref>
        </x14:dataValidation>
        <x14:dataValidation type="list" allowBlank="1" showInputMessage="1" showErrorMessage="1">
          <x14:formula1>
            <xm:f>Háttértáblák!$A$2:$A$9</xm:f>
          </x14:formula1>
          <xm:sqref>A4:A23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S2000"/>
  <sheetViews>
    <sheetView zoomScale="80" zoomScaleNormal="80" workbookViewId="0">
      <pane xSplit="1" ySplit="3" topLeftCell="B4" activePane="bottomRight" state="frozen"/>
      <selection activeCell="C36" sqref="C36"/>
      <selection pane="topRight" activeCell="C36" sqref="C36"/>
      <selection pane="bottomLeft" activeCell="C36" sqref="C36"/>
      <selection pane="bottomRight" activeCell="B1" sqref="B1"/>
    </sheetView>
  </sheetViews>
  <sheetFormatPr defaultColWidth="9.140625" defaultRowHeight="15" zeroHeight="1" x14ac:dyDescent="0.25"/>
  <cols>
    <col min="1" max="1" width="15" hidden="1" customWidth="1"/>
    <col min="2" max="2" width="22" style="3" customWidth="1"/>
    <col min="3" max="3" width="18.85546875" customWidth="1"/>
    <col min="4" max="4" width="38" customWidth="1"/>
    <col min="5" max="5" width="20.42578125" bestFit="1" customWidth="1"/>
    <col min="6" max="6" width="43.5703125" customWidth="1"/>
    <col min="7" max="7" width="14.28515625" customWidth="1"/>
    <col min="8" max="8" width="12" customWidth="1"/>
    <col min="9" max="9" width="10.28515625" hidden="1" customWidth="1"/>
    <col min="10" max="10" width="19.5703125" hidden="1" customWidth="1"/>
    <col min="11" max="11" width="12.85546875" hidden="1" customWidth="1"/>
    <col min="12" max="12" width="15" hidden="1" customWidth="1"/>
    <col min="13" max="15" width="12.85546875" customWidth="1"/>
    <col min="16" max="16" width="19.140625" customWidth="1"/>
    <col min="17" max="17" width="16.85546875" customWidth="1"/>
    <col min="18" max="18" width="52.42578125" customWidth="1"/>
  </cols>
  <sheetData>
    <row r="1" spans="1:19" ht="30" customHeight="1" x14ac:dyDescent="0.25">
      <c r="A1" s="225"/>
      <c r="B1" s="228" t="s">
        <v>2813</v>
      </c>
      <c r="C1" s="18"/>
      <c r="D1" s="18"/>
      <c r="E1" s="229" t="s">
        <v>1869</v>
      </c>
      <c r="F1" s="229"/>
      <c r="G1" s="18"/>
      <c r="H1" s="18"/>
      <c r="I1" s="18"/>
      <c r="J1" s="18"/>
      <c r="K1" s="18"/>
      <c r="L1" s="17"/>
      <c r="M1" s="17"/>
      <c r="N1" s="128" t="s">
        <v>382</v>
      </c>
      <c r="O1" s="16"/>
      <c r="P1" s="137" t="s">
        <v>1895</v>
      </c>
      <c r="Q1" s="121"/>
      <c r="R1" s="260" t="s">
        <v>2825</v>
      </c>
    </row>
    <row r="2" spans="1:19" ht="30" customHeight="1" x14ac:dyDescent="0.25">
      <c r="A2" s="226"/>
      <c r="B2" s="230" t="s">
        <v>366</v>
      </c>
      <c r="C2" s="141"/>
      <c r="D2" s="259" t="s">
        <v>2826</v>
      </c>
      <c r="E2" s="270">
        <f>COUNTBLANK(B4:G103)</f>
        <v>600</v>
      </c>
      <c r="F2" s="141"/>
      <c r="G2" s="132">
        <f>SUM(G4:G103)</f>
        <v>0</v>
      </c>
      <c r="H2" s="231"/>
      <c r="I2" s="232"/>
      <c r="J2" s="232"/>
      <c r="K2" s="232"/>
      <c r="L2" s="141"/>
      <c r="M2" s="144"/>
      <c r="N2" s="132">
        <f>SUM(N4:N103)</f>
        <v>0</v>
      </c>
      <c r="O2" s="125">
        <f>SUM(O4:O103)</f>
        <v>0</v>
      </c>
      <c r="P2" s="138">
        <f>SUM(P4:P103)</f>
        <v>0</v>
      </c>
      <c r="Q2" s="125">
        <f>SUM(Q4:Q103)</f>
        <v>0</v>
      </c>
      <c r="R2" s="261" t="str">
        <f>"LOGIKAI HIBÁK SZÁMA: "&amp;S2</f>
        <v>LOGIKAI HIBÁK SZÁMA: 0</v>
      </c>
      <c r="S2" s="264">
        <f>COUNTIF(R4:R103,"A ''G'' és/vagy a ''P'' oszlop értéke hibás! Kérjük balról jobbra haladva adja meg a helyes értékeket.")</f>
        <v>0</v>
      </c>
    </row>
    <row r="3" spans="1:19" ht="146.25" customHeight="1" x14ac:dyDescent="0.25">
      <c r="A3" s="129" t="s">
        <v>367</v>
      </c>
      <c r="B3" s="118" t="s">
        <v>1868</v>
      </c>
      <c r="C3" s="42" t="s">
        <v>871</v>
      </c>
      <c r="D3" s="42" t="s">
        <v>872</v>
      </c>
      <c r="E3" s="42" t="s">
        <v>368</v>
      </c>
      <c r="F3" s="42" t="s">
        <v>1882</v>
      </c>
      <c r="G3" s="42" t="s">
        <v>2404</v>
      </c>
      <c r="H3" s="43" t="s">
        <v>371</v>
      </c>
      <c r="I3" s="233" t="s">
        <v>376</v>
      </c>
      <c r="J3" s="233" t="s">
        <v>377</v>
      </c>
      <c r="K3" s="234" t="s">
        <v>370</v>
      </c>
      <c r="L3" s="142" t="s">
        <v>383</v>
      </c>
      <c r="M3" s="133" t="s">
        <v>874</v>
      </c>
      <c r="N3" s="134" t="s">
        <v>1611</v>
      </c>
      <c r="O3" s="135" t="s">
        <v>1612</v>
      </c>
      <c r="P3" s="139" t="s">
        <v>1896</v>
      </c>
      <c r="Q3" s="135" t="s">
        <v>2832</v>
      </c>
      <c r="R3" s="262" t="s">
        <v>2824</v>
      </c>
    </row>
    <row r="4" spans="1:19" ht="30" customHeight="1" x14ac:dyDescent="0.25">
      <c r="A4" s="227"/>
      <c r="B4" s="235"/>
      <c r="C4" s="100"/>
      <c r="D4" s="100"/>
      <c r="E4" s="102"/>
      <c r="F4" s="100"/>
      <c r="G4" s="102"/>
      <c r="H4" s="97" t="str">
        <f>IFERROR(IF(E4="_2017_2018_ősz",VLOOKUP(F4,Háttértáblák!$L$2:$M$331,2,0),IF(E4="_2017_2018_keresztfélév",VLOOKUP(F4,Háttértáblák!$N$2:$O$326,2,0),IF(OR(E4="_2018_2019_ősz",E4="_2019_2020_ősz"),VLOOKUP(F4,Háttértáblák!$S$2:$T$334,2,0),VLOOKUP(F4,Háttértáblák!$U$2:$V$330,2,0)))),"")</f>
        <v/>
      </c>
      <c r="I4" s="97" t="str">
        <f t="shared" ref="I4" si="0">"_"&amp;LEFT(H4,2)</f>
        <v>_</v>
      </c>
      <c r="J4" s="97" t="e">
        <f>IF(#REF!="","",E4&amp;"_"&amp;IF(#REF!=0.5,"fél_év",#REF!))</f>
        <v>#REF!</v>
      </c>
      <c r="K4" s="97" t="str">
        <f>IF(E4="_2019_2020_ősz",VLOOKUP(F4,#REF!,4,0),IF(OR(E4="_2018_2019_ősz",E4="_2018_2019_keresztfélév"),VLOOKUP(F4,#REF!,4,0),IF(E4="_2017_2018_keresztfélév",VLOOKUP(F4,#REF!,4,0),IF(E4="_2017_2018_ősz",VLOOKUP(F4,#REF!,4,0),IF(OR(E4="_2016_2017_ősz",E4="_2016_2017_keresztfélév"),VLOOKUP(F4,#REF!,4,0),"HIBA!")))))</f>
        <v>HIBA!</v>
      </c>
      <c r="L4" s="143" t="e">
        <f>H4&amp;" "&amp;#REF!</f>
        <v>#REF!</v>
      </c>
      <c r="M4" s="136">
        <f>'Támogatás szorzat tényezői'!$C$19*('Támogatás szorzat tényezői'!$C$15/'Támogatás szorzat tényezői'!$C$14)</f>
        <v>240000</v>
      </c>
      <c r="N4" s="98">
        <f t="shared" ref="N4" si="1">G4*M4</f>
        <v>0</v>
      </c>
      <c r="O4" s="120">
        <f t="shared" ref="O4" si="2">N4</f>
        <v>0</v>
      </c>
      <c r="P4" s="140"/>
      <c r="Q4" s="127">
        <f t="shared" ref="Q4" si="3">M4*P4</f>
        <v>0</v>
      </c>
      <c r="R4" s="263" t="str">
        <f>IF(OR(G4="",P4=""),"",IF(P4&lt;G4,"A ''G'' és/vagy a ''P'' oszlop értéke hibás! Kérjük balról jobbra haladva adja meg a helyes értékeket.",""))</f>
        <v/>
      </c>
    </row>
    <row r="5" spans="1:19" ht="30" customHeight="1" x14ac:dyDescent="0.25">
      <c r="A5" s="227"/>
      <c r="B5" s="235"/>
      <c r="C5" s="100"/>
      <c r="D5" s="100"/>
      <c r="E5" s="102"/>
      <c r="F5" s="100"/>
      <c r="G5" s="102"/>
      <c r="H5" s="97" t="str">
        <f>IFERROR(IF(E5="_2017_2018_ősz",VLOOKUP(F5,Háttértáblák!$L$2:$M$331,2,0),IF(E5="_2017_2018_keresztfélév",VLOOKUP(F5,Háttértáblák!$N$2:$O$326,2,0),IF(OR(E5="_2018_2019_ősz",E5="_2019_2020_ősz"),VLOOKUP(F5,Háttértáblák!$S$2:$T$334,2,0),VLOOKUP(F5,Háttértáblák!$U$2:$V$330,2,0)))),"")</f>
        <v/>
      </c>
      <c r="I5" s="97" t="str">
        <f t="shared" ref="I5:I68" si="4">"_"&amp;LEFT(H5,2)</f>
        <v>_</v>
      </c>
      <c r="J5" s="97" t="e">
        <f>IF(#REF!="","",E5&amp;"_"&amp;IF(#REF!=0.5,"fél_év",#REF!))</f>
        <v>#REF!</v>
      </c>
      <c r="K5" s="97" t="str">
        <f>IF(E5="_2019_2020_ősz",VLOOKUP(F5,#REF!,4,0),IF(OR(E5="_2018_2019_ősz",E5="_2018_2019_keresztfélév"),VLOOKUP(F5,#REF!,4,0),IF(E5="_2017_2018_keresztfélév",VLOOKUP(F5,#REF!,4,0),IF(E5="_2017_2018_ősz",VLOOKUP(F5,#REF!,4,0),IF(OR(E5="_2016_2017_ősz",E5="_2016_2017_keresztfélév"),VLOOKUP(F5,#REF!,4,0),"HIBA!")))))</f>
        <v>HIBA!</v>
      </c>
      <c r="L5" s="143" t="e">
        <f>H5&amp;" "&amp;#REF!</f>
        <v>#REF!</v>
      </c>
      <c r="M5" s="136">
        <f>'Támogatás szorzat tényezői'!$C$19*('Támogatás szorzat tényezői'!$C$15/'Támogatás szorzat tényezői'!$C$14)</f>
        <v>240000</v>
      </c>
      <c r="N5" s="98">
        <f t="shared" ref="N5:N68" si="5">G5*M5</f>
        <v>0</v>
      </c>
      <c r="O5" s="120">
        <f t="shared" ref="O5:O68" si="6">N5</f>
        <v>0</v>
      </c>
      <c r="P5" s="140"/>
      <c r="Q5" s="127">
        <f t="shared" ref="Q5:Q68" si="7">M5*P5</f>
        <v>0</v>
      </c>
      <c r="R5" s="263" t="str">
        <f t="shared" ref="R5:R68" si="8">IF(OR(G5="",P5=""),"",IF(P5&lt;G5,"A ''G'' és/vagy a ''P'' oszlop értéke hibás! Kérjük balról jobbra haladva adja meg a helyes értékeket.",""))</f>
        <v/>
      </c>
    </row>
    <row r="6" spans="1:19" ht="30" customHeight="1" x14ac:dyDescent="0.25">
      <c r="A6" s="227"/>
      <c r="B6" s="235"/>
      <c r="C6" s="100"/>
      <c r="D6" s="100"/>
      <c r="E6" s="102"/>
      <c r="F6" s="100"/>
      <c r="G6" s="102"/>
      <c r="H6" s="97" t="str">
        <f>IFERROR(IF(E6="_2017_2018_ősz",VLOOKUP(F6,Háttértáblák!$L$2:$M$331,2,0),IF(E6="_2017_2018_keresztfélév",VLOOKUP(F6,Háttértáblák!$N$2:$O$326,2,0),IF(OR(E6="_2018_2019_ősz",E6="_2019_2020_ősz"),VLOOKUP(F6,Háttértáblák!$S$2:$T$334,2,0),VLOOKUP(F6,Háttértáblák!$U$2:$V$330,2,0)))),"")</f>
        <v/>
      </c>
      <c r="I6" s="97" t="str">
        <f t="shared" si="4"/>
        <v>_</v>
      </c>
      <c r="J6" s="97" t="e">
        <f>IF(#REF!="","",E6&amp;"_"&amp;IF(#REF!=0.5,"fél_év",#REF!))</f>
        <v>#REF!</v>
      </c>
      <c r="K6" s="97" t="str">
        <f>IF(E6="_2019_2020_ősz",VLOOKUP(F6,#REF!,4,0),IF(OR(E6="_2018_2019_ősz",E6="_2018_2019_keresztfélév"),VLOOKUP(F6,#REF!,4,0),IF(E6="_2017_2018_keresztfélév",VLOOKUP(F6,#REF!,4,0),IF(E6="_2017_2018_ősz",VLOOKUP(F6,#REF!,4,0),IF(OR(E6="_2016_2017_ősz",E6="_2016_2017_keresztfélév"),VLOOKUP(F6,#REF!,4,0),"HIBA!")))))</f>
        <v>HIBA!</v>
      </c>
      <c r="L6" s="143" t="e">
        <f>H6&amp;" "&amp;#REF!</f>
        <v>#REF!</v>
      </c>
      <c r="M6" s="136">
        <f>'Támogatás szorzat tényezői'!$C$19*('Támogatás szorzat tényezői'!$C$15/'Támogatás szorzat tényezői'!$C$14)</f>
        <v>240000</v>
      </c>
      <c r="N6" s="98">
        <f t="shared" si="5"/>
        <v>0</v>
      </c>
      <c r="O6" s="120">
        <f t="shared" si="6"/>
        <v>0</v>
      </c>
      <c r="P6" s="140"/>
      <c r="Q6" s="127">
        <f t="shared" si="7"/>
        <v>0</v>
      </c>
      <c r="R6" s="263" t="str">
        <f t="shared" si="8"/>
        <v/>
      </c>
    </row>
    <row r="7" spans="1:19" ht="30" customHeight="1" x14ac:dyDescent="0.25">
      <c r="A7" s="227"/>
      <c r="B7" s="235"/>
      <c r="C7" s="100"/>
      <c r="D7" s="100"/>
      <c r="E7" s="102"/>
      <c r="F7" s="100"/>
      <c r="G7" s="102"/>
      <c r="H7" s="97" t="str">
        <f>IFERROR(IF(E7="_2017_2018_ősz",VLOOKUP(F7,Háttértáblák!$L$2:$M$331,2,0),IF(E7="_2017_2018_keresztfélév",VLOOKUP(F7,Háttértáblák!$N$2:$O$326,2,0),IF(OR(E7="_2018_2019_ősz",E7="_2019_2020_ősz"),VLOOKUP(F7,Háttértáblák!$S$2:$T$334,2,0),VLOOKUP(F7,Háttértáblák!$U$2:$V$330,2,0)))),"")</f>
        <v/>
      </c>
      <c r="I7" s="97" t="str">
        <f t="shared" si="4"/>
        <v>_</v>
      </c>
      <c r="J7" s="97" t="e">
        <f>IF(#REF!="","",E7&amp;"_"&amp;IF(#REF!=0.5,"fél_év",#REF!))</f>
        <v>#REF!</v>
      </c>
      <c r="K7" s="97" t="str">
        <f>IF(E7="_2019_2020_ősz",VLOOKUP(F7,#REF!,4,0),IF(OR(E7="_2018_2019_ősz",E7="_2018_2019_keresztfélév"),VLOOKUP(F7,#REF!,4,0),IF(E7="_2017_2018_keresztfélév",VLOOKUP(F7,#REF!,4,0),IF(E7="_2017_2018_ősz",VLOOKUP(F7,#REF!,4,0),IF(OR(E7="_2016_2017_ősz",E7="_2016_2017_keresztfélév"),VLOOKUP(F7,#REF!,4,0),"HIBA!")))))</f>
        <v>HIBA!</v>
      </c>
      <c r="L7" s="143" t="e">
        <f>H7&amp;" "&amp;#REF!</f>
        <v>#REF!</v>
      </c>
      <c r="M7" s="136">
        <f>'Támogatás szorzat tényezői'!$C$19*('Támogatás szorzat tényezői'!$C$15/'Támogatás szorzat tényezői'!$C$14)</f>
        <v>240000</v>
      </c>
      <c r="N7" s="98">
        <f t="shared" si="5"/>
        <v>0</v>
      </c>
      <c r="O7" s="120">
        <f t="shared" si="6"/>
        <v>0</v>
      </c>
      <c r="P7" s="140"/>
      <c r="Q7" s="127">
        <f t="shared" si="7"/>
        <v>0</v>
      </c>
      <c r="R7" s="263" t="str">
        <f t="shared" si="8"/>
        <v/>
      </c>
    </row>
    <row r="8" spans="1:19" ht="30" customHeight="1" x14ac:dyDescent="0.25">
      <c r="A8" s="227"/>
      <c r="B8" s="235"/>
      <c r="C8" s="100"/>
      <c r="D8" s="100"/>
      <c r="E8" s="102"/>
      <c r="F8" s="100"/>
      <c r="G8" s="102"/>
      <c r="H8" s="97" t="str">
        <f>IFERROR(IF(E8="_2017_2018_ősz",VLOOKUP(F8,Háttértáblák!$L$2:$M$331,2,0),IF(E8="_2017_2018_keresztfélév",VLOOKUP(F8,Háttértáblák!$N$2:$O$326,2,0),IF(OR(E8="_2018_2019_ősz",E8="_2019_2020_ősz"),VLOOKUP(F8,Háttértáblák!$S$2:$T$334,2,0),VLOOKUP(F8,Háttértáblák!$U$2:$V$330,2,0)))),"")</f>
        <v/>
      </c>
      <c r="I8" s="97" t="str">
        <f t="shared" si="4"/>
        <v>_</v>
      </c>
      <c r="J8" s="97" t="e">
        <f>IF(#REF!="","",E8&amp;"_"&amp;IF(#REF!=0.5,"fél_év",#REF!))</f>
        <v>#REF!</v>
      </c>
      <c r="K8" s="97" t="str">
        <f>IF(E8="_2019_2020_ősz",VLOOKUP(F8,#REF!,4,0),IF(OR(E8="_2018_2019_ősz",E8="_2018_2019_keresztfélév"),VLOOKUP(F8,#REF!,4,0),IF(E8="_2017_2018_keresztfélév",VLOOKUP(F8,#REF!,4,0),IF(E8="_2017_2018_ősz",VLOOKUP(F8,#REF!,4,0),IF(OR(E8="_2016_2017_ősz",E8="_2016_2017_keresztfélév"),VLOOKUP(F8,#REF!,4,0),"HIBA!")))))</f>
        <v>HIBA!</v>
      </c>
      <c r="L8" s="143" t="e">
        <f>H8&amp;" "&amp;#REF!</f>
        <v>#REF!</v>
      </c>
      <c r="M8" s="136">
        <f>'Támogatás szorzat tényezői'!$C$19*('Támogatás szorzat tényezői'!$C$15/'Támogatás szorzat tényezői'!$C$14)</f>
        <v>240000</v>
      </c>
      <c r="N8" s="98">
        <f t="shared" si="5"/>
        <v>0</v>
      </c>
      <c r="O8" s="120">
        <f t="shared" si="6"/>
        <v>0</v>
      </c>
      <c r="P8" s="140"/>
      <c r="Q8" s="127">
        <f t="shared" si="7"/>
        <v>0</v>
      </c>
      <c r="R8" s="263" t="str">
        <f t="shared" si="8"/>
        <v/>
      </c>
    </row>
    <row r="9" spans="1:19" ht="30" customHeight="1" x14ac:dyDescent="0.25">
      <c r="A9" s="227"/>
      <c r="B9" s="235"/>
      <c r="C9" s="100"/>
      <c r="D9" s="100"/>
      <c r="E9" s="102"/>
      <c r="F9" s="100"/>
      <c r="G9" s="102"/>
      <c r="H9" s="97" t="str">
        <f>IFERROR(IF(E9="_2017_2018_ősz",VLOOKUP(F9,Háttértáblák!$L$2:$M$331,2,0),IF(E9="_2017_2018_keresztfélév",VLOOKUP(F9,Háttértáblák!$N$2:$O$326,2,0),IF(OR(E9="_2018_2019_ősz",E9="_2019_2020_ősz"),VLOOKUP(F9,Háttértáblák!$S$2:$T$334,2,0),VLOOKUP(F9,Háttértáblák!$U$2:$V$330,2,0)))),"")</f>
        <v/>
      </c>
      <c r="I9" s="97" t="str">
        <f t="shared" si="4"/>
        <v>_</v>
      </c>
      <c r="J9" s="97" t="e">
        <f>IF(#REF!="","",E9&amp;"_"&amp;IF(#REF!=0.5,"fél_év",#REF!))</f>
        <v>#REF!</v>
      </c>
      <c r="K9" s="97" t="str">
        <f>IF(E9="_2019_2020_ősz",VLOOKUP(F9,#REF!,4,0),IF(OR(E9="_2018_2019_ősz",E9="_2018_2019_keresztfélév"),VLOOKUP(F9,#REF!,4,0),IF(E9="_2017_2018_keresztfélév",VLOOKUP(F9,#REF!,4,0),IF(E9="_2017_2018_ősz",VLOOKUP(F9,#REF!,4,0),IF(OR(E9="_2016_2017_ősz",E9="_2016_2017_keresztfélév"),VLOOKUP(F9,#REF!,4,0),"HIBA!")))))</f>
        <v>HIBA!</v>
      </c>
      <c r="L9" s="143" t="e">
        <f>H9&amp;" "&amp;#REF!</f>
        <v>#REF!</v>
      </c>
      <c r="M9" s="136">
        <f>'Támogatás szorzat tényezői'!$C$19*('Támogatás szorzat tényezői'!$C$15/'Támogatás szorzat tényezői'!$C$14)</f>
        <v>240000</v>
      </c>
      <c r="N9" s="98">
        <f t="shared" si="5"/>
        <v>0</v>
      </c>
      <c r="O9" s="120">
        <f t="shared" si="6"/>
        <v>0</v>
      </c>
      <c r="P9" s="140"/>
      <c r="Q9" s="127">
        <f t="shared" si="7"/>
        <v>0</v>
      </c>
      <c r="R9" s="263" t="str">
        <f t="shared" si="8"/>
        <v/>
      </c>
    </row>
    <row r="10" spans="1:19" ht="30" customHeight="1" x14ac:dyDescent="0.25">
      <c r="A10" s="227"/>
      <c r="B10" s="235"/>
      <c r="C10" s="100"/>
      <c r="D10" s="100"/>
      <c r="E10" s="102"/>
      <c r="F10" s="100"/>
      <c r="G10" s="102"/>
      <c r="H10" s="97" t="str">
        <f>IFERROR(IF(E10="_2017_2018_ősz",VLOOKUP(F10,Háttértáblák!$L$2:$M$331,2,0),IF(E10="_2017_2018_keresztfélév",VLOOKUP(F10,Háttértáblák!$N$2:$O$326,2,0),IF(OR(E10="_2018_2019_ősz",E10="_2019_2020_ősz"),VLOOKUP(F10,Háttértáblák!$S$2:$T$334,2,0),VLOOKUP(F10,Háttértáblák!$U$2:$V$330,2,0)))),"")</f>
        <v/>
      </c>
      <c r="I10" s="97" t="str">
        <f t="shared" si="4"/>
        <v>_</v>
      </c>
      <c r="J10" s="97" t="e">
        <f>IF(#REF!="","",E10&amp;"_"&amp;IF(#REF!=0.5,"fél_év",#REF!))</f>
        <v>#REF!</v>
      </c>
      <c r="K10" s="97" t="str">
        <f>IF(E10="_2019_2020_ősz",VLOOKUP(F10,#REF!,4,0),IF(OR(E10="_2018_2019_ősz",E10="_2018_2019_keresztfélév"),VLOOKUP(F10,#REF!,4,0),IF(E10="_2017_2018_keresztfélév",VLOOKUP(F10,#REF!,4,0),IF(E10="_2017_2018_ősz",VLOOKUP(F10,#REF!,4,0),IF(OR(E10="_2016_2017_ősz",E10="_2016_2017_keresztfélév"),VLOOKUP(F10,#REF!,4,0),"HIBA!")))))</f>
        <v>HIBA!</v>
      </c>
      <c r="L10" s="143" t="e">
        <f>H10&amp;" "&amp;#REF!</f>
        <v>#REF!</v>
      </c>
      <c r="M10" s="136">
        <f>'Támogatás szorzat tényezői'!$C$19*('Támogatás szorzat tényezői'!$C$15/'Támogatás szorzat tényezői'!$C$14)</f>
        <v>240000</v>
      </c>
      <c r="N10" s="98">
        <f t="shared" si="5"/>
        <v>0</v>
      </c>
      <c r="O10" s="120">
        <f t="shared" si="6"/>
        <v>0</v>
      </c>
      <c r="P10" s="140"/>
      <c r="Q10" s="127">
        <f t="shared" si="7"/>
        <v>0</v>
      </c>
      <c r="R10" s="263" t="str">
        <f t="shared" si="8"/>
        <v/>
      </c>
    </row>
    <row r="11" spans="1:19" ht="30" customHeight="1" x14ac:dyDescent="0.25">
      <c r="A11" s="227"/>
      <c r="B11" s="235"/>
      <c r="C11" s="100"/>
      <c r="D11" s="100"/>
      <c r="E11" s="102"/>
      <c r="F11" s="100"/>
      <c r="G11" s="102"/>
      <c r="H11" s="97" t="str">
        <f>IFERROR(IF(E11="_2017_2018_ősz",VLOOKUP(F11,Háttértáblák!$L$2:$M$331,2,0),IF(E11="_2017_2018_keresztfélév",VLOOKUP(F11,Háttértáblák!$N$2:$O$326,2,0),IF(OR(E11="_2018_2019_ősz",E11="_2019_2020_ősz"),VLOOKUP(F11,Háttértáblák!$S$2:$T$334,2,0),VLOOKUP(F11,Háttértáblák!$U$2:$V$330,2,0)))),"")</f>
        <v/>
      </c>
      <c r="I11" s="97" t="str">
        <f t="shared" si="4"/>
        <v>_</v>
      </c>
      <c r="J11" s="97" t="e">
        <f>IF(#REF!="","",E11&amp;"_"&amp;IF(#REF!=0.5,"fél_év",#REF!))</f>
        <v>#REF!</v>
      </c>
      <c r="K11" s="97" t="str">
        <f>IF(E11="_2019_2020_ősz",VLOOKUP(F11,#REF!,4,0),IF(OR(E11="_2018_2019_ősz",E11="_2018_2019_keresztfélév"),VLOOKUP(F11,#REF!,4,0),IF(E11="_2017_2018_keresztfélév",VLOOKUP(F11,#REF!,4,0),IF(E11="_2017_2018_ősz",VLOOKUP(F11,#REF!,4,0),IF(OR(E11="_2016_2017_ősz",E11="_2016_2017_keresztfélév"),VLOOKUP(F11,#REF!,4,0),"HIBA!")))))</f>
        <v>HIBA!</v>
      </c>
      <c r="L11" s="143" t="e">
        <f>H11&amp;" "&amp;#REF!</f>
        <v>#REF!</v>
      </c>
      <c r="M11" s="136">
        <f>'Támogatás szorzat tényezői'!$C$19*('Támogatás szorzat tényezői'!$C$15/'Támogatás szorzat tényezői'!$C$14)</f>
        <v>240000</v>
      </c>
      <c r="N11" s="98">
        <f t="shared" si="5"/>
        <v>0</v>
      </c>
      <c r="O11" s="120">
        <f t="shared" si="6"/>
        <v>0</v>
      </c>
      <c r="P11" s="140"/>
      <c r="Q11" s="127">
        <f t="shared" si="7"/>
        <v>0</v>
      </c>
      <c r="R11" s="263" t="str">
        <f t="shared" si="8"/>
        <v/>
      </c>
    </row>
    <row r="12" spans="1:19" ht="30" customHeight="1" x14ac:dyDescent="0.25">
      <c r="A12" s="227"/>
      <c r="B12" s="235"/>
      <c r="C12" s="100"/>
      <c r="D12" s="100"/>
      <c r="E12" s="102"/>
      <c r="F12" s="100"/>
      <c r="G12" s="102"/>
      <c r="H12" s="97" t="str">
        <f>IFERROR(IF(E12="_2017_2018_ősz",VLOOKUP(F12,Háttértáblák!$L$2:$M$331,2,0),IF(E12="_2017_2018_keresztfélév",VLOOKUP(F12,Háttértáblák!$N$2:$O$326,2,0),IF(OR(E12="_2018_2019_ősz",E12="_2019_2020_ősz"),VLOOKUP(F12,Háttértáblák!$S$2:$T$334,2,0),VLOOKUP(F12,Háttértáblák!$U$2:$V$330,2,0)))),"")</f>
        <v/>
      </c>
      <c r="I12" s="97" t="str">
        <f t="shared" si="4"/>
        <v>_</v>
      </c>
      <c r="J12" s="97" t="e">
        <f>IF(#REF!="","",E12&amp;"_"&amp;IF(#REF!=0.5,"fél_év",#REF!))</f>
        <v>#REF!</v>
      </c>
      <c r="K12" s="97" t="str">
        <f>IF(E12="_2019_2020_ősz",VLOOKUP(F12,#REF!,4,0),IF(OR(E12="_2018_2019_ősz",E12="_2018_2019_keresztfélév"),VLOOKUP(F12,#REF!,4,0),IF(E12="_2017_2018_keresztfélév",VLOOKUP(F12,#REF!,4,0),IF(E12="_2017_2018_ősz",VLOOKUP(F12,#REF!,4,0),IF(OR(E12="_2016_2017_ősz",E12="_2016_2017_keresztfélév"),VLOOKUP(F12,#REF!,4,0),"HIBA!")))))</f>
        <v>HIBA!</v>
      </c>
      <c r="L12" s="143" t="e">
        <f>H12&amp;" "&amp;#REF!</f>
        <v>#REF!</v>
      </c>
      <c r="M12" s="136">
        <f>'Támogatás szorzat tényezői'!$C$19*('Támogatás szorzat tényezői'!$C$15/'Támogatás szorzat tényezői'!$C$14)</f>
        <v>240000</v>
      </c>
      <c r="N12" s="98">
        <f t="shared" si="5"/>
        <v>0</v>
      </c>
      <c r="O12" s="120">
        <f t="shared" si="6"/>
        <v>0</v>
      </c>
      <c r="P12" s="140"/>
      <c r="Q12" s="127">
        <f t="shared" si="7"/>
        <v>0</v>
      </c>
      <c r="R12" s="263" t="str">
        <f t="shared" si="8"/>
        <v/>
      </c>
    </row>
    <row r="13" spans="1:19" ht="30" customHeight="1" x14ac:dyDescent="0.25">
      <c r="A13" s="227"/>
      <c r="B13" s="235"/>
      <c r="C13" s="100"/>
      <c r="D13" s="100"/>
      <c r="E13" s="102"/>
      <c r="F13" s="100"/>
      <c r="G13" s="102"/>
      <c r="H13" s="97" t="str">
        <f>IFERROR(IF(E13="_2017_2018_ősz",VLOOKUP(F13,Háttértáblák!$L$2:$M$331,2,0),IF(E13="_2017_2018_keresztfélév",VLOOKUP(F13,Háttértáblák!$N$2:$O$326,2,0),IF(OR(E13="_2018_2019_ősz",E13="_2019_2020_ősz"),VLOOKUP(F13,Háttértáblák!$S$2:$T$334,2,0),VLOOKUP(F13,Háttértáblák!$U$2:$V$330,2,0)))),"")</f>
        <v/>
      </c>
      <c r="I13" s="97" t="str">
        <f t="shared" si="4"/>
        <v>_</v>
      </c>
      <c r="J13" s="97" t="e">
        <f>IF(#REF!="","",E13&amp;"_"&amp;IF(#REF!=0.5,"fél_év",#REF!))</f>
        <v>#REF!</v>
      </c>
      <c r="K13" s="97" t="str">
        <f>IF(E13="_2019_2020_ősz",VLOOKUP(F13,#REF!,4,0),IF(OR(E13="_2018_2019_ősz",E13="_2018_2019_keresztfélév"),VLOOKUP(F13,#REF!,4,0),IF(E13="_2017_2018_keresztfélév",VLOOKUP(F13,#REF!,4,0),IF(E13="_2017_2018_ősz",VLOOKUP(F13,#REF!,4,0),IF(OR(E13="_2016_2017_ősz",E13="_2016_2017_keresztfélév"),VLOOKUP(F13,#REF!,4,0),"HIBA!")))))</f>
        <v>HIBA!</v>
      </c>
      <c r="L13" s="143" t="e">
        <f>H13&amp;" "&amp;#REF!</f>
        <v>#REF!</v>
      </c>
      <c r="M13" s="136">
        <f>'Támogatás szorzat tényezői'!$C$19*('Támogatás szorzat tényezői'!$C$15/'Támogatás szorzat tényezői'!$C$14)</f>
        <v>240000</v>
      </c>
      <c r="N13" s="98">
        <f t="shared" si="5"/>
        <v>0</v>
      </c>
      <c r="O13" s="120">
        <f t="shared" si="6"/>
        <v>0</v>
      </c>
      <c r="P13" s="140"/>
      <c r="Q13" s="127">
        <f t="shared" si="7"/>
        <v>0</v>
      </c>
      <c r="R13" s="263" t="str">
        <f t="shared" si="8"/>
        <v/>
      </c>
    </row>
    <row r="14" spans="1:19" ht="30" customHeight="1" x14ac:dyDescent="0.25">
      <c r="A14" s="227"/>
      <c r="B14" s="235"/>
      <c r="C14" s="100"/>
      <c r="D14" s="100"/>
      <c r="E14" s="102"/>
      <c r="F14" s="100"/>
      <c r="G14" s="102"/>
      <c r="H14" s="97" t="str">
        <f>IFERROR(IF(E14="_2017_2018_ősz",VLOOKUP(F14,Háttértáblák!$L$2:$M$331,2,0),IF(E14="_2017_2018_keresztfélév",VLOOKUP(F14,Háttértáblák!$N$2:$O$326,2,0),IF(OR(E14="_2018_2019_ősz",E14="_2019_2020_ősz"),VLOOKUP(F14,Háttértáblák!$S$2:$T$334,2,0),VLOOKUP(F14,Háttértáblák!$U$2:$V$330,2,0)))),"")</f>
        <v/>
      </c>
      <c r="I14" s="97" t="str">
        <f t="shared" si="4"/>
        <v>_</v>
      </c>
      <c r="J14" s="97" t="e">
        <f>IF(#REF!="","",E14&amp;"_"&amp;IF(#REF!=0.5,"fél_év",#REF!))</f>
        <v>#REF!</v>
      </c>
      <c r="K14" s="97" t="str">
        <f>IF(E14="_2019_2020_ősz",VLOOKUP(F14,#REF!,4,0),IF(OR(E14="_2018_2019_ősz",E14="_2018_2019_keresztfélév"),VLOOKUP(F14,#REF!,4,0),IF(E14="_2017_2018_keresztfélév",VLOOKUP(F14,#REF!,4,0),IF(E14="_2017_2018_ősz",VLOOKUP(F14,#REF!,4,0),IF(OR(E14="_2016_2017_ősz",E14="_2016_2017_keresztfélév"),VLOOKUP(F14,#REF!,4,0),"HIBA!")))))</f>
        <v>HIBA!</v>
      </c>
      <c r="L14" s="143" t="e">
        <f>H14&amp;" "&amp;#REF!</f>
        <v>#REF!</v>
      </c>
      <c r="M14" s="136">
        <f>'Támogatás szorzat tényezői'!$C$19*('Támogatás szorzat tényezői'!$C$15/'Támogatás szorzat tényezői'!$C$14)</f>
        <v>240000</v>
      </c>
      <c r="N14" s="98">
        <f t="shared" si="5"/>
        <v>0</v>
      </c>
      <c r="O14" s="120">
        <f t="shared" si="6"/>
        <v>0</v>
      </c>
      <c r="P14" s="140"/>
      <c r="Q14" s="127">
        <f t="shared" si="7"/>
        <v>0</v>
      </c>
      <c r="R14" s="263" t="str">
        <f t="shared" si="8"/>
        <v/>
      </c>
    </row>
    <row r="15" spans="1:19" ht="30" customHeight="1" x14ac:dyDescent="0.25">
      <c r="A15" s="227"/>
      <c r="B15" s="235"/>
      <c r="C15" s="100"/>
      <c r="D15" s="100"/>
      <c r="E15" s="102"/>
      <c r="F15" s="100"/>
      <c r="G15" s="102"/>
      <c r="H15" s="97" t="str">
        <f>IFERROR(IF(E15="_2017_2018_ősz",VLOOKUP(F15,Háttértáblák!$L$2:$M$331,2,0),IF(E15="_2017_2018_keresztfélév",VLOOKUP(F15,Háttértáblák!$N$2:$O$326,2,0),IF(OR(E15="_2018_2019_ősz",E15="_2019_2020_ősz"),VLOOKUP(F15,Háttértáblák!$S$2:$T$334,2,0),VLOOKUP(F15,Háttértáblák!$U$2:$V$330,2,0)))),"")</f>
        <v/>
      </c>
      <c r="I15" s="97" t="str">
        <f t="shared" si="4"/>
        <v>_</v>
      </c>
      <c r="J15" s="97" t="e">
        <f>IF(#REF!="","",E15&amp;"_"&amp;IF(#REF!=0.5,"fél_év",#REF!))</f>
        <v>#REF!</v>
      </c>
      <c r="K15" s="97" t="str">
        <f>IF(E15="_2019_2020_ősz",VLOOKUP(F15,#REF!,4,0),IF(OR(E15="_2018_2019_ősz",E15="_2018_2019_keresztfélév"),VLOOKUP(F15,#REF!,4,0),IF(E15="_2017_2018_keresztfélév",VLOOKUP(F15,#REF!,4,0),IF(E15="_2017_2018_ősz",VLOOKUP(F15,#REF!,4,0),IF(OR(E15="_2016_2017_ősz",E15="_2016_2017_keresztfélév"),VLOOKUP(F15,#REF!,4,0),"HIBA!")))))</f>
        <v>HIBA!</v>
      </c>
      <c r="L15" s="143" t="e">
        <f>H15&amp;" "&amp;#REF!</f>
        <v>#REF!</v>
      </c>
      <c r="M15" s="136">
        <f>'Támogatás szorzat tényezői'!$C$19*('Támogatás szorzat tényezői'!$C$15/'Támogatás szorzat tényezői'!$C$14)</f>
        <v>240000</v>
      </c>
      <c r="N15" s="98">
        <f t="shared" si="5"/>
        <v>0</v>
      </c>
      <c r="O15" s="120">
        <f t="shared" si="6"/>
        <v>0</v>
      </c>
      <c r="P15" s="140"/>
      <c r="Q15" s="127">
        <f t="shared" si="7"/>
        <v>0</v>
      </c>
      <c r="R15" s="263" t="str">
        <f t="shared" si="8"/>
        <v/>
      </c>
    </row>
    <row r="16" spans="1:19" ht="30" customHeight="1" x14ac:dyDescent="0.25">
      <c r="A16" s="227"/>
      <c r="B16" s="235"/>
      <c r="C16" s="100"/>
      <c r="D16" s="100"/>
      <c r="E16" s="102"/>
      <c r="F16" s="100"/>
      <c r="G16" s="102"/>
      <c r="H16" s="97" t="str">
        <f>IFERROR(IF(E16="_2017_2018_ősz",VLOOKUP(F16,Háttértáblák!$L$2:$M$331,2,0),IF(E16="_2017_2018_keresztfélév",VLOOKUP(F16,Háttértáblák!$N$2:$O$326,2,0),IF(OR(E16="_2018_2019_ősz",E16="_2019_2020_ősz"),VLOOKUP(F16,Háttértáblák!$S$2:$T$334,2,0),VLOOKUP(F16,Háttértáblák!$U$2:$V$330,2,0)))),"")</f>
        <v/>
      </c>
      <c r="I16" s="97" t="str">
        <f t="shared" si="4"/>
        <v>_</v>
      </c>
      <c r="J16" s="97" t="e">
        <f>IF(#REF!="","",E16&amp;"_"&amp;IF(#REF!=0.5,"fél_év",#REF!))</f>
        <v>#REF!</v>
      </c>
      <c r="K16" s="97" t="str">
        <f>IF(E16="_2019_2020_ősz",VLOOKUP(F16,#REF!,4,0),IF(OR(E16="_2018_2019_ősz",E16="_2018_2019_keresztfélév"),VLOOKUP(F16,#REF!,4,0),IF(E16="_2017_2018_keresztfélév",VLOOKUP(F16,#REF!,4,0),IF(E16="_2017_2018_ősz",VLOOKUP(F16,#REF!,4,0),IF(OR(E16="_2016_2017_ősz",E16="_2016_2017_keresztfélév"),VLOOKUP(F16,#REF!,4,0),"HIBA!")))))</f>
        <v>HIBA!</v>
      </c>
      <c r="L16" s="143" t="e">
        <f>H16&amp;" "&amp;#REF!</f>
        <v>#REF!</v>
      </c>
      <c r="M16" s="136">
        <f>'Támogatás szorzat tényezői'!$C$19*('Támogatás szorzat tényezői'!$C$15/'Támogatás szorzat tényezői'!$C$14)</f>
        <v>240000</v>
      </c>
      <c r="N16" s="98">
        <f t="shared" si="5"/>
        <v>0</v>
      </c>
      <c r="O16" s="120">
        <f t="shared" si="6"/>
        <v>0</v>
      </c>
      <c r="P16" s="140"/>
      <c r="Q16" s="127">
        <f t="shared" si="7"/>
        <v>0</v>
      </c>
      <c r="R16" s="263" t="str">
        <f t="shared" si="8"/>
        <v/>
      </c>
    </row>
    <row r="17" spans="1:18" ht="30" customHeight="1" x14ac:dyDescent="0.25">
      <c r="A17" s="227"/>
      <c r="B17" s="235"/>
      <c r="C17" s="100"/>
      <c r="D17" s="100"/>
      <c r="E17" s="102"/>
      <c r="F17" s="100"/>
      <c r="G17" s="102"/>
      <c r="H17" s="97" t="str">
        <f>IFERROR(IF(E17="_2017_2018_ősz",VLOOKUP(F17,Háttértáblák!$L$2:$M$331,2,0),IF(E17="_2017_2018_keresztfélév",VLOOKUP(F17,Háttértáblák!$N$2:$O$326,2,0),IF(OR(E17="_2018_2019_ősz",E17="_2019_2020_ősz"),VLOOKUP(F17,Háttértáblák!$S$2:$T$334,2,0),VLOOKUP(F17,Háttértáblák!$U$2:$V$330,2,0)))),"")</f>
        <v/>
      </c>
      <c r="I17" s="97" t="str">
        <f t="shared" si="4"/>
        <v>_</v>
      </c>
      <c r="J17" s="97" t="e">
        <f>IF(#REF!="","",E17&amp;"_"&amp;IF(#REF!=0.5,"fél_év",#REF!))</f>
        <v>#REF!</v>
      </c>
      <c r="K17" s="97" t="str">
        <f>IF(E17="_2019_2020_ősz",VLOOKUP(F17,#REF!,4,0),IF(OR(E17="_2018_2019_ősz",E17="_2018_2019_keresztfélév"),VLOOKUP(F17,#REF!,4,0),IF(E17="_2017_2018_keresztfélév",VLOOKUP(F17,#REF!,4,0),IF(E17="_2017_2018_ősz",VLOOKUP(F17,#REF!,4,0),IF(OR(E17="_2016_2017_ősz",E17="_2016_2017_keresztfélév"),VLOOKUP(F17,#REF!,4,0),"HIBA!")))))</f>
        <v>HIBA!</v>
      </c>
      <c r="L17" s="143" t="e">
        <f>H17&amp;" "&amp;#REF!</f>
        <v>#REF!</v>
      </c>
      <c r="M17" s="136">
        <f>'Támogatás szorzat tényezői'!$C$19*('Támogatás szorzat tényezői'!$C$15/'Támogatás szorzat tényezői'!$C$14)</f>
        <v>240000</v>
      </c>
      <c r="N17" s="98">
        <f t="shared" si="5"/>
        <v>0</v>
      </c>
      <c r="O17" s="120">
        <f t="shared" si="6"/>
        <v>0</v>
      </c>
      <c r="P17" s="140"/>
      <c r="Q17" s="127">
        <f t="shared" si="7"/>
        <v>0</v>
      </c>
      <c r="R17" s="263" t="str">
        <f t="shared" si="8"/>
        <v/>
      </c>
    </row>
    <row r="18" spans="1:18" ht="30" customHeight="1" x14ac:dyDescent="0.25">
      <c r="A18" s="227"/>
      <c r="B18" s="235"/>
      <c r="C18" s="100"/>
      <c r="D18" s="100"/>
      <c r="E18" s="102"/>
      <c r="F18" s="100"/>
      <c r="G18" s="102"/>
      <c r="H18" s="97" t="str">
        <f>IFERROR(IF(E18="_2017_2018_ősz",VLOOKUP(F18,Háttértáblák!$L$2:$M$331,2,0),IF(E18="_2017_2018_keresztfélév",VLOOKUP(F18,Háttértáblák!$N$2:$O$326,2,0),IF(OR(E18="_2018_2019_ősz",E18="_2019_2020_ősz"),VLOOKUP(F18,Háttértáblák!$S$2:$T$334,2,0),VLOOKUP(F18,Háttértáblák!$U$2:$V$330,2,0)))),"")</f>
        <v/>
      </c>
      <c r="I18" s="97" t="str">
        <f t="shared" si="4"/>
        <v>_</v>
      </c>
      <c r="J18" s="97" t="e">
        <f>IF(#REF!="","",E18&amp;"_"&amp;IF(#REF!=0.5,"fél_év",#REF!))</f>
        <v>#REF!</v>
      </c>
      <c r="K18" s="97" t="str">
        <f>IF(E18="_2019_2020_ősz",VLOOKUP(F18,#REF!,4,0),IF(OR(E18="_2018_2019_ősz",E18="_2018_2019_keresztfélév"),VLOOKUP(F18,#REF!,4,0),IF(E18="_2017_2018_keresztfélév",VLOOKUP(F18,#REF!,4,0),IF(E18="_2017_2018_ősz",VLOOKUP(F18,#REF!,4,0),IF(OR(E18="_2016_2017_ősz",E18="_2016_2017_keresztfélév"),VLOOKUP(F18,#REF!,4,0),"HIBA!")))))</f>
        <v>HIBA!</v>
      </c>
      <c r="L18" s="143" t="e">
        <f>H18&amp;" "&amp;#REF!</f>
        <v>#REF!</v>
      </c>
      <c r="M18" s="136">
        <f>'Támogatás szorzat tényezői'!$C$19*('Támogatás szorzat tényezői'!$C$15/'Támogatás szorzat tényezői'!$C$14)</f>
        <v>240000</v>
      </c>
      <c r="N18" s="98">
        <f t="shared" si="5"/>
        <v>0</v>
      </c>
      <c r="O18" s="120">
        <f t="shared" si="6"/>
        <v>0</v>
      </c>
      <c r="P18" s="140"/>
      <c r="Q18" s="127">
        <f t="shared" si="7"/>
        <v>0</v>
      </c>
      <c r="R18" s="263" t="str">
        <f t="shared" si="8"/>
        <v/>
      </c>
    </row>
    <row r="19" spans="1:18" ht="30" customHeight="1" x14ac:dyDescent="0.25">
      <c r="A19" s="227"/>
      <c r="B19" s="235"/>
      <c r="C19" s="100"/>
      <c r="D19" s="100"/>
      <c r="E19" s="102"/>
      <c r="F19" s="100"/>
      <c r="G19" s="102"/>
      <c r="H19" s="97" t="str">
        <f>IFERROR(IF(E19="_2017_2018_ősz",VLOOKUP(F19,Háttértáblák!$L$2:$M$331,2,0),IF(E19="_2017_2018_keresztfélév",VLOOKUP(F19,Háttértáblák!$N$2:$O$326,2,0),IF(OR(E19="_2018_2019_ősz",E19="_2019_2020_ősz"),VLOOKUP(F19,Háttértáblák!$S$2:$T$334,2,0),VLOOKUP(F19,Háttértáblák!$U$2:$V$330,2,0)))),"")</f>
        <v/>
      </c>
      <c r="I19" s="97" t="str">
        <f t="shared" si="4"/>
        <v>_</v>
      </c>
      <c r="J19" s="97" t="e">
        <f>IF(#REF!="","",E19&amp;"_"&amp;IF(#REF!=0.5,"fél_év",#REF!))</f>
        <v>#REF!</v>
      </c>
      <c r="K19" s="97" t="str">
        <f>IF(E19="_2019_2020_ősz",VLOOKUP(F19,#REF!,4,0),IF(OR(E19="_2018_2019_ősz",E19="_2018_2019_keresztfélév"),VLOOKUP(F19,#REF!,4,0),IF(E19="_2017_2018_keresztfélév",VLOOKUP(F19,#REF!,4,0),IF(E19="_2017_2018_ősz",VLOOKUP(F19,#REF!,4,0),IF(OR(E19="_2016_2017_ősz",E19="_2016_2017_keresztfélév"),VLOOKUP(F19,#REF!,4,0),"HIBA!")))))</f>
        <v>HIBA!</v>
      </c>
      <c r="L19" s="143" t="e">
        <f>H19&amp;" "&amp;#REF!</f>
        <v>#REF!</v>
      </c>
      <c r="M19" s="136">
        <f>'Támogatás szorzat tényezői'!$C$19*('Támogatás szorzat tényezői'!$C$15/'Támogatás szorzat tényezői'!$C$14)</f>
        <v>240000</v>
      </c>
      <c r="N19" s="98">
        <f t="shared" si="5"/>
        <v>0</v>
      </c>
      <c r="O19" s="120">
        <f t="shared" si="6"/>
        <v>0</v>
      </c>
      <c r="P19" s="140"/>
      <c r="Q19" s="127">
        <f t="shared" si="7"/>
        <v>0</v>
      </c>
      <c r="R19" s="263" t="str">
        <f t="shared" si="8"/>
        <v/>
      </c>
    </row>
    <row r="20" spans="1:18" ht="30" customHeight="1" x14ac:dyDescent="0.25">
      <c r="A20" s="227"/>
      <c r="B20" s="235"/>
      <c r="C20" s="100"/>
      <c r="D20" s="100"/>
      <c r="E20" s="102"/>
      <c r="F20" s="100"/>
      <c r="G20" s="102"/>
      <c r="H20" s="97" t="str">
        <f>IFERROR(IF(E20="_2017_2018_ősz",VLOOKUP(F20,Háttértáblák!$L$2:$M$331,2,0),IF(E20="_2017_2018_keresztfélév",VLOOKUP(F20,Háttértáblák!$N$2:$O$326,2,0),IF(OR(E20="_2018_2019_ősz",E20="_2019_2020_ősz"),VLOOKUP(F20,Háttértáblák!$S$2:$T$334,2,0),VLOOKUP(F20,Háttértáblák!$U$2:$V$330,2,0)))),"")</f>
        <v/>
      </c>
      <c r="I20" s="97" t="str">
        <f t="shared" si="4"/>
        <v>_</v>
      </c>
      <c r="J20" s="97" t="e">
        <f>IF(#REF!="","",E20&amp;"_"&amp;IF(#REF!=0.5,"fél_év",#REF!))</f>
        <v>#REF!</v>
      </c>
      <c r="K20" s="97" t="str">
        <f>IF(E20="_2019_2020_ősz",VLOOKUP(F20,#REF!,4,0),IF(OR(E20="_2018_2019_ősz",E20="_2018_2019_keresztfélév"),VLOOKUP(F20,#REF!,4,0),IF(E20="_2017_2018_keresztfélév",VLOOKUP(F20,#REF!,4,0),IF(E20="_2017_2018_ősz",VLOOKUP(F20,#REF!,4,0),IF(OR(E20="_2016_2017_ősz",E20="_2016_2017_keresztfélév"),VLOOKUP(F20,#REF!,4,0),"HIBA!")))))</f>
        <v>HIBA!</v>
      </c>
      <c r="L20" s="143" t="e">
        <f>H20&amp;" "&amp;#REF!</f>
        <v>#REF!</v>
      </c>
      <c r="M20" s="136">
        <f>'Támogatás szorzat tényezői'!$C$19*('Támogatás szorzat tényezői'!$C$15/'Támogatás szorzat tényezői'!$C$14)</f>
        <v>240000</v>
      </c>
      <c r="N20" s="98">
        <f t="shared" si="5"/>
        <v>0</v>
      </c>
      <c r="O20" s="120">
        <f t="shared" si="6"/>
        <v>0</v>
      </c>
      <c r="P20" s="140"/>
      <c r="Q20" s="127">
        <f t="shared" si="7"/>
        <v>0</v>
      </c>
      <c r="R20" s="263" t="str">
        <f t="shared" si="8"/>
        <v/>
      </c>
    </row>
    <row r="21" spans="1:18" ht="30" customHeight="1" x14ac:dyDescent="0.25">
      <c r="A21" s="227"/>
      <c r="B21" s="235"/>
      <c r="C21" s="100"/>
      <c r="D21" s="100"/>
      <c r="E21" s="102"/>
      <c r="F21" s="100"/>
      <c r="G21" s="102"/>
      <c r="H21" s="97" t="str">
        <f>IFERROR(IF(E21="_2017_2018_ősz",VLOOKUP(F21,Háttértáblák!$L$2:$M$331,2,0),IF(E21="_2017_2018_keresztfélév",VLOOKUP(F21,Háttértáblák!$N$2:$O$326,2,0),IF(OR(E21="_2018_2019_ősz",E21="_2019_2020_ősz"),VLOOKUP(F21,Háttértáblák!$S$2:$T$334,2,0),VLOOKUP(F21,Háttértáblák!$U$2:$V$330,2,0)))),"")</f>
        <v/>
      </c>
      <c r="I21" s="97" t="str">
        <f t="shared" si="4"/>
        <v>_</v>
      </c>
      <c r="J21" s="97" t="e">
        <f>IF(#REF!="","",E21&amp;"_"&amp;IF(#REF!=0.5,"fél_év",#REF!))</f>
        <v>#REF!</v>
      </c>
      <c r="K21" s="97" t="str">
        <f>IF(E21="_2019_2020_ősz",VLOOKUP(F21,#REF!,4,0),IF(OR(E21="_2018_2019_ősz",E21="_2018_2019_keresztfélév"),VLOOKUP(F21,#REF!,4,0),IF(E21="_2017_2018_keresztfélév",VLOOKUP(F21,#REF!,4,0),IF(E21="_2017_2018_ősz",VLOOKUP(F21,#REF!,4,0),IF(OR(E21="_2016_2017_ősz",E21="_2016_2017_keresztfélév"),VLOOKUP(F21,#REF!,4,0),"HIBA!")))))</f>
        <v>HIBA!</v>
      </c>
      <c r="L21" s="143" t="e">
        <f>H21&amp;" "&amp;#REF!</f>
        <v>#REF!</v>
      </c>
      <c r="M21" s="136">
        <f>'Támogatás szorzat tényezői'!$C$19*('Támogatás szorzat tényezői'!$C$15/'Támogatás szorzat tényezői'!$C$14)</f>
        <v>240000</v>
      </c>
      <c r="N21" s="98">
        <f t="shared" si="5"/>
        <v>0</v>
      </c>
      <c r="O21" s="120">
        <f t="shared" si="6"/>
        <v>0</v>
      </c>
      <c r="P21" s="140"/>
      <c r="Q21" s="127">
        <f t="shared" si="7"/>
        <v>0</v>
      </c>
      <c r="R21" s="263" t="str">
        <f t="shared" si="8"/>
        <v/>
      </c>
    </row>
    <row r="22" spans="1:18" ht="30" customHeight="1" x14ac:dyDescent="0.25">
      <c r="A22" s="227"/>
      <c r="B22" s="235"/>
      <c r="C22" s="100"/>
      <c r="D22" s="100"/>
      <c r="E22" s="102"/>
      <c r="F22" s="100"/>
      <c r="G22" s="102"/>
      <c r="H22" s="97" t="str">
        <f>IFERROR(IF(E22="_2017_2018_ősz",VLOOKUP(F22,Háttértáblák!$L$2:$M$331,2,0),IF(E22="_2017_2018_keresztfélév",VLOOKUP(F22,Háttértáblák!$N$2:$O$326,2,0),IF(OR(E22="_2018_2019_ősz",E22="_2019_2020_ősz"),VLOOKUP(F22,Háttértáblák!$S$2:$T$334,2,0),VLOOKUP(F22,Háttértáblák!$U$2:$V$330,2,0)))),"")</f>
        <v/>
      </c>
      <c r="I22" s="97" t="str">
        <f t="shared" si="4"/>
        <v>_</v>
      </c>
      <c r="J22" s="97" t="e">
        <f>IF(#REF!="","",E22&amp;"_"&amp;IF(#REF!=0.5,"fél_év",#REF!))</f>
        <v>#REF!</v>
      </c>
      <c r="K22" s="97" t="str">
        <f>IF(E22="_2019_2020_ősz",VLOOKUP(F22,#REF!,4,0),IF(OR(E22="_2018_2019_ősz",E22="_2018_2019_keresztfélév"),VLOOKUP(F22,#REF!,4,0),IF(E22="_2017_2018_keresztfélév",VLOOKUP(F22,#REF!,4,0),IF(E22="_2017_2018_ősz",VLOOKUP(F22,#REF!,4,0),IF(OR(E22="_2016_2017_ősz",E22="_2016_2017_keresztfélév"),VLOOKUP(F22,#REF!,4,0),"HIBA!")))))</f>
        <v>HIBA!</v>
      </c>
      <c r="L22" s="143" t="e">
        <f>H22&amp;" "&amp;#REF!</f>
        <v>#REF!</v>
      </c>
      <c r="M22" s="136">
        <f>'Támogatás szorzat tényezői'!$C$19*('Támogatás szorzat tényezői'!$C$15/'Támogatás szorzat tényezői'!$C$14)</f>
        <v>240000</v>
      </c>
      <c r="N22" s="98">
        <f t="shared" si="5"/>
        <v>0</v>
      </c>
      <c r="O22" s="120">
        <f t="shared" si="6"/>
        <v>0</v>
      </c>
      <c r="P22" s="140"/>
      <c r="Q22" s="127">
        <f t="shared" si="7"/>
        <v>0</v>
      </c>
      <c r="R22" s="263" t="str">
        <f t="shared" si="8"/>
        <v/>
      </c>
    </row>
    <row r="23" spans="1:18" ht="30" customHeight="1" x14ac:dyDescent="0.25">
      <c r="A23" s="227"/>
      <c r="B23" s="235"/>
      <c r="C23" s="100"/>
      <c r="D23" s="100"/>
      <c r="E23" s="102"/>
      <c r="F23" s="100"/>
      <c r="G23" s="102"/>
      <c r="H23" s="97" t="str">
        <f>IFERROR(IF(E23="_2017_2018_ősz",VLOOKUP(F23,Háttértáblák!$L$2:$M$331,2,0),IF(E23="_2017_2018_keresztfélév",VLOOKUP(F23,Háttértáblák!$N$2:$O$326,2,0),IF(OR(E23="_2018_2019_ősz",E23="_2019_2020_ősz"),VLOOKUP(F23,Háttértáblák!$S$2:$T$334,2,0),VLOOKUP(F23,Háttértáblák!$U$2:$V$330,2,0)))),"")</f>
        <v/>
      </c>
      <c r="I23" s="97" t="str">
        <f t="shared" si="4"/>
        <v>_</v>
      </c>
      <c r="J23" s="97" t="e">
        <f>IF(#REF!="","",E23&amp;"_"&amp;IF(#REF!=0.5,"fél_év",#REF!))</f>
        <v>#REF!</v>
      </c>
      <c r="K23" s="97" t="str">
        <f>IF(E23="_2019_2020_ősz",VLOOKUP(F23,#REF!,4,0),IF(OR(E23="_2018_2019_ősz",E23="_2018_2019_keresztfélév"),VLOOKUP(F23,#REF!,4,0),IF(E23="_2017_2018_keresztfélév",VLOOKUP(F23,#REF!,4,0),IF(E23="_2017_2018_ősz",VLOOKUP(F23,#REF!,4,0),IF(OR(E23="_2016_2017_ősz",E23="_2016_2017_keresztfélév"),VLOOKUP(F23,#REF!,4,0),"HIBA!")))))</f>
        <v>HIBA!</v>
      </c>
      <c r="L23" s="143" t="e">
        <f>H23&amp;" "&amp;#REF!</f>
        <v>#REF!</v>
      </c>
      <c r="M23" s="136">
        <f>'Támogatás szorzat tényezői'!$C$19*('Támogatás szorzat tényezői'!$C$15/'Támogatás szorzat tényezői'!$C$14)</f>
        <v>240000</v>
      </c>
      <c r="N23" s="98">
        <f t="shared" si="5"/>
        <v>0</v>
      </c>
      <c r="O23" s="120">
        <f t="shared" si="6"/>
        <v>0</v>
      </c>
      <c r="P23" s="140"/>
      <c r="Q23" s="127">
        <f t="shared" si="7"/>
        <v>0</v>
      </c>
      <c r="R23" s="263" t="str">
        <f t="shared" si="8"/>
        <v/>
      </c>
    </row>
    <row r="24" spans="1:18" ht="30" customHeight="1" x14ac:dyDescent="0.25">
      <c r="A24" s="227"/>
      <c r="B24" s="235"/>
      <c r="C24" s="100"/>
      <c r="D24" s="100"/>
      <c r="E24" s="102"/>
      <c r="F24" s="100"/>
      <c r="G24" s="102"/>
      <c r="H24" s="97" t="str">
        <f>IFERROR(IF(E24="_2017_2018_ősz",VLOOKUP(F24,Háttértáblák!$L$2:$M$331,2,0),IF(E24="_2017_2018_keresztfélév",VLOOKUP(F24,Háttértáblák!$N$2:$O$326,2,0),IF(OR(E24="_2018_2019_ősz",E24="_2019_2020_ősz"),VLOOKUP(F24,Háttértáblák!$S$2:$T$334,2,0),VLOOKUP(F24,Háttértáblák!$U$2:$V$330,2,0)))),"")</f>
        <v/>
      </c>
      <c r="I24" s="97" t="str">
        <f t="shared" si="4"/>
        <v>_</v>
      </c>
      <c r="J24" s="97" t="e">
        <f>IF(#REF!="","",E24&amp;"_"&amp;IF(#REF!=0.5,"fél_év",#REF!))</f>
        <v>#REF!</v>
      </c>
      <c r="K24" s="97" t="str">
        <f>IF(E24="_2019_2020_ősz",VLOOKUP(F24,#REF!,4,0),IF(OR(E24="_2018_2019_ősz",E24="_2018_2019_keresztfélév"),VLOOKUP(F24,#REF!,4,0),IF(E24="_2017_2018_keresztfélév",VLOOKUP(F24,#REF!,4,0),IF(E24="_2017_2018_ősz",VLOOKUP(F24,#REF!,4,0),IF(OR(E24="_2016_2017_ősz",E24="_2016_2017_keresztfélév"),VLOOKUP(F24,#REF!,4,0),"HIBA!")))))</f>
        <v>HIBA!</v>
      </c>
      <c r="L24" s="143" t="e">
        <f>H24&amp;" "&amp;#REF!</f>
        <v>#REF!</v>
      </c>
      <c r="M24" s="136">
        <f>'Támogatás szorzat tényezői'!$C$19*('Támogatás szorzat tényezői'!$C$15/'Támogatás szorzat tényezői'!$C$14)</f>
        <v>240000</v>
      </c>
      <c r="N24" s="98">
        <f t="shared" si="5"/>
        <v>0</v>
      </c>
      <c r="O24" s="120">
        <f t="shared" si="6"/>
        <v>0</v>
      </c>
      <c r="P24" s="140"/>
      <c r="Q24" s="127">
        <f t="shared" si="7"/>
        <v>0</v>
      </c>
      <c r="R24" s="263" t="str">
        <f t="shared" si="8"/>
        <v/>
      </c>
    </row>
    <row r="25" spans="1:18" ht="30" customHeight="1" x14ac:dyDescent="0.25">
      <c r="A25" s="227"/>
      <c r="B25" s="235"/>
      <c r="C25" s="100"/>
      <c r="D25" s="100"/>
      <c r="E25" s="102"/>
      <c r="F25" s="100"/>
      <c r="G25" s="102"/>
      <c r="H25" s="97" t="str">
        <f>IFERROR(IF(E25="_2017_2018_ősz",VLOOKUP(F25,Háttértáblák!$L$2:$M$331,2,0),IF(E25="_2017_2018_keresztfélév",VLOOKUP(F25,Háttértáblák!$N$2:$O$326,2,0),IF(OR(E25="_2018_2019_ősz",E25="_2019_2020_ősz"),VLOOKUP(F25,Háttértáblák!$S$2:$T$334,2,0),VLOOKUP(F25,Háttértáblák!$U$2:$V$330,2,0)))),"")</f>
        <v/>
      </c>
      <c r="I25" s="97" t="str">
        <f t="shared" si="4"/>
        <v>_</v>
      </c>
      <c r="J25" s="97" t="e">
        <f>IF(#REF!="","",E25&amp;"_"&amp;IF(#REF!=0.5,"fél_év",#REF!))</f>
        <v>#REF!</v>
      </c>
      <c r="K25" s="97" t="str">
        <f>IF(E25="_2019_2020_ősz",VLOOKUP(F25,#REF!,4,0),IF(OR(E25="_2018_2019_ősz",E25="_2018_2019_keresztfélév"),VLOOKUP(F25,#REF!,4,0),IF(E25="_2017_2018_keresztfélév",VLOOKUP(F25,#REF!,4,0),IF(E25="_2017_2018_ősz",VLOOKUP(F25,#REF!,4,0),IF(OR(E25="_2016_2017_ősz",E25="_2016_2017_keresztfélév"),VLOOKUP(F25,#REF!,4,0),"HIBA!")))))</f>
        <v>HIBA!</v>
      </c>
      <c r="L25" s="143" t="e">
        <f>H25&amp;" "&amp;#REF!</f>
        <v>#REF!</v>
      </c>
      <c r="M25" s="136">
        <f>'Támogatás szorzat tényezői'!$C$19*('Támogatás szorzat tényezői'!$C$15/'Támogatás szorzat tényezői'!$C$14)</f>
        <v>240000</v>
      </c>
      <c r="N25" s="98">
        <f t="shared" si="5"/>
        <v>0</v>
      </c>
      <c r="O25" s="120">
        <f t="shared" si="6"/>
        <v>0</v>
      </c>
      <c r="P25" s="140"/>
      <c r="Q25" s="127">
        <f t="shared" si="7"/>
        <v>0</v>
      </c>
      <c r="R25" s="263" t="str">
        <f t="shared" si="8"/>
        <v/>
      </c>
    </row>
    <row r="26" spans="1:18" ht="30" customHeight="1" x14ac:dyDescent="0.25">
      <c r="A26" s="227"/>
      <c r="B26" s="235"/>
      <c r="C26" s="100"/>
      <c r="D26" s="100"/>
      <c r="E26" s="102"/>
      <c r="F26" s="100"/>
      <c r="G26" s="102"/>
      <c r="H26" s="97" t="str">
        <f>IFERROR(IF(E26="_2017_2018_ősz",VLOOKUP(F26,Háttértáblák!$L$2:$M$331,2,0),IF(E26="_2017_2018_keresztfélév",VLOOKUP(F26,Háttértáblák!$N$2:$O$326,2,0),IF(OR(E26="_2018_2019_ősz",E26="_2019_2020_ősz"),VLOOKUP(F26,Háttértáblák!$S$2:$T$334,2,0),VLOOKUP(F26,Háttértáblák!$U$2:$V$330,2,0)))),"")</f>
        <v/>
      </c>
      <c r="I26" s="97" t="str">
        <f t="shared" si="4"/>
        <v>_</v>
      </c>
      <c r="J26" s="97" t="e">
        <f>IF(#REF!="","",E26&amp;"_"&amp;IF(#REF!=0.5,"fél_év",#REF!))</f>
        <v>#REF!</v>
      </c>
      <c r="K26" s="97" t="str">
        <f>IF(E26="_2019_2020_ősz",VLOOKUP(F26,#REF!,4,0),IF(OR(E26="_2018_2019_ősz",E26="_2018_2019_keresztfélév"),VLOOKUP(F26,#REF!,4,0),IF(E26="_2017_2018_keresztfélév",VLOOKUP(F26,#REF!,4,0),IF(E26="_2017_2018_ősz",VLOOKUP(F26,#REF!,4,0),IF(OR(E26="_2016_2017_ősz",E26="_2016_2017_keresztfélév"),VLOOKUP(F26,#REF!,4,0),"HIBA!")))))</f>
        <v>HIBA!</v>
      </c>
      <c r="L26" s="143" t="e">
        <f>H26&amp;" "&amp;#REF!</f>
        <v>#REF!</v>
      </c>
      <c r="M26" s="136">
        <f>'Támogatás szorzat tényezői'!$C$19*('Támogatás szorzat tényezői'!$C$15/'Támogatás szorzat tényezői'!$C$14)</f>
        <v>240000</v>
      </c>
      <c r="N26" s="98">
        <f t="shared" si="5"/>
        <v>0</v>
      </c>
      <c r="O26" s="120">
        <f t="shared" si="6"/>
        <v>0</v>
      </c>
      <c r="P26" s="140"/>
      <c r="Q26" s="127">
        <f t="shared" si="7"/>
        <v>0</v>
      </c>
      <c r="R26" s="263" t="str">
        <f t="shared" si="8"/>
        <v/>
      </c>
    </row>
    <row r="27" spans="1:18" ht="30" customHeight="1" x14ac:dyDescent="0.25">
      <c r="A27" s="227"/>
      <c r="B27" s="235"/>
      <c r="C27" s="100"/>
      <c r="D27" s="100"/>
      <c r="E27" s="102"/>
      <c r="F27" s="100"/>
      <c r="G27" s="102"/>
      <c r="H27" s="97" t="str">
        <f>IFERROR(IF(E27="_2017_2018_ősz",VLOOKUP(F27,Háttértáblák!$L$2:$M$331,2,0),IF(E27="_2017_2018_keresztfélév",VLOOKUP(F27,Háttértáblák!$N$2:$O$326,2,0),IF(OR(E27="_2018_2019_ősz",E27="_2019_2020_ősz"),VLOOKUP(F27,Háttértáblák!$S$2:$T$334,2,0),VLOOKUP(F27,Háttértáblák!$U$2:$V$330,2,0)))),"")</f>
        <v/>
      </c>
      <c r="I27" s="97" t="str">
        <f t="shared" si="4"/>
        <v>_</v>
      </c>
      <c r="J27" s="97" t="e">
        <f>IF(#REF!="","",E27&amp;"_"&amp;IF(#REF!=0.5,"fél_év",#REF!))</f>
        <v>#REF!</v>
      </c>
      <c r="K27" s="97" t="str">
        <f>IF(E27="_2019_2020_ősz",VLOOKUP(F27,#REF!,4,0),IF(OR(E27="_2018_2019_ősz",E27="_2018_2019_keresztfélév"),VLOOKUP(F27,#REF!,4,0),IF(E27="_2017_2018_keresztfélév",VLOOKUP(F27,#REF!,4,0),IF(E27="_2017_2018_ősz",VLOOKUP(F27,#REF!,4,0),IF(OR(E27="_2016_2017_ősz",E27="_2016_2017_keresztfélév"),VLOOKUP(F27,#REF!,4,0),"HIBA!")))))</f>
        <v>HIBA!</v>
      </c>
      <c r="L27" s="143" t="e">
        <f>H27&amp;" "&amp;#REF!</f>
        <v>#REF!</v>
      </c>
      <c r="M27" s="136">
        <f>'Támogatás szorzat tényezői'!$C$19*('Támogatás szorzat tényezői'!$C$15/'Támogatás szorzat tényezői'!$C$14)</f>
        <v>240000</v>
      </c>
      <c r="N27" s="98">
        <f t="shared" si="5"/>
        <v>0</v>
      </c>
      <c r="O27" s="120">
        <f t="shared" si="6"/>
        <v>0</v>
      </c>
      <c r="P27" s="140"/>
      <c r="Q27" s="127">
        <f t="shared" si="7"/>
        <v>0</v>
      </c>
      <c r="R27" s="263" t="str">
        <f t="shared" si="8"/>
        <v/>
      </c>
    </row>
    <row r="28" spans="1:18" ht="30" customHeight="1" x14ac:dyDescent="0.25">
      <c r="A28" s="227"/>
      <c r="B28" s="235"/>
      <c r="C28" s="100"/>
      <c r="D28" s="100"/>
      <c r="E28" s="102"/>
      <c r="F28" s="100"/>
      <c r="G28" s="102"/>
      <c r="H28" s="97" t="str">
        <f>IFERROR(IF(E28="_2017_2018_ősz",VLOOKUP(F28,Háttértáblák!$L$2:$M$331,2,0),IF(E28="_2017_2018_keresztfélév",VLOOKUP(F28,Háttértáblák!$N$2:$O$326,2,0),IF(OR(E28="_2018_2019_ősz",E28="_2019_2020_ősz"),VLOOKUP(F28,Háttértáblák!$S$2:$T$334,2,0),VLOOKUP(F28,Háttértáblák!$U$2:$V$330,2,0)))),"")</f>
        <v/>
      </c>
      <c r="I28" s="97" t="str">
        <f t="shared" si="4"/>
        <v>_</v>
      </c>
      <c r="J28" s="97" t="e">
        <f>IF(#REF!="","",E28&amp;"_"&amp;IF(#REF!=0.5,"fél_év",#REF!))</f>
        <v>#REF!</v>
      </c>
      <c r="K28" s="97" t="str">
        <f>IF(E28="_2019_2020_ősz",VLOOKUP(F28,#REF!,4,0),IF(OR(E28="_2018_2019_ősz",E28="_2018_2019_keresztfélév"),VLOOKUP(F28,#REF!,4,0),IF(E28="_2017_2018_keresztfélév",VLOOKUP(F28,#REF!,4,0),IF(E28="_2017_2018_ősz",VLOOKUP(F28,#REF!,4,0),IF(OR(E28="_2016_2017_ősz",E28="_2016_2017_keresztfélév"),VLOOKUP(F28,#REF!,4,0),"HIBA!")))))</f>
        <v>HIBA!</v>
      </c>
      <c r="L28" s="143" t="e">
        <f>H28&amp;" "&amp;#REF!</f>
        <v>#REF!</v>
      </c>
      <c r="M28" s="136">
        <f>'Támogatás szorzat tényezői'!$C$19*('Támogatás szorzat tényezői'!$C$15/'Támogatás szorzat tényezői'!$C$14)</f>
        <v>240000</v>
      </c>
      <c r="N28" s="98">
        <f t="shared" si="5"/>
        <v>0</v>
      </c>
      <c r="O28" s="120">
        <f t="shared" si="6"/>
        <v>0</v>
      </c>
      <c r="P28" s="140"/>
      <c r="Q28" s="127">
        <f t="shared" si="7"/>
        <v>0</v>
      </c>
      <c r="R28" s="263" t="str">
        <f t="shared" si="8"/>
        <v/>
      </c>
    </row>
    <row r="29" spans="1:18" ht="30" customHeight="1" x14ac:dyDescent="0.25">
      <c r="A29" s="227"/>
      <c r="B29" s="235"/>
      <c r="C29" s="100"/>
      <c r="D29" s="100"/>
      <c r="E29" s="102"/>
      <c r="F29" s="100"/>
      <c r="G29" s="102"/>
      <c r="H29" s="97" t="str">
        <f>IFERROR(IF(E29="_2017_2018_ősz",VLOOKUP(F29,Háttértáblák!$L$2:$M$331,2,0),IF(E29="_2017_2018_keresztfélév",VLOOKUP(F29,Háttértáblák!$N$2:$O$326,2,0),IF(OR(E29="_2018_2019_ősz",E29="_2019_2020_ősz"),VLOOKUP(F29,Háttértáblák!$S$2:$T$334,2,0),VLOOKUP(F29,Háttértáblák!$U$2:$V$330,2,0)))),"")</f>
        <v/>
      </c>
      <c r="I29" s="97" t="str">
        <f t="shared" si="4"/>
        <v>_</v>
      </c>
      <c r="J29" s="97" t="e">
        <f>IF(#REF!="","",E29&amp;"_"&amp;IF(#REF!=0.5,"fél_év",#REF!))</f>
        <v>#REF!</v>
      </c>
      <c r="K29" s="97" t="str">
        <f>IF(E29="_2019_2020_ősz",VLOOKUP(F29,#REF!,4,0),IF(OR(E29="_2018_2019_ősz",E29="_2018_2019_keresztfélév"),VLOOKUP(F29,#REF!,4,0),IF(E29="_2017_2018_keresztfélév",VLOOKUP(F29,#REF!,4,0),IF(E29="_2017_2018_ősz",VLOOKUP(F29,#REF!,4,0),IF(OR(E29="_2016_2017_ősz",E29="_2016_2017_keresztfélév"),VLOOKUP(F29,#REF!,4,0),"HIBA!")))))</f>
        <v>HIBA!</v>
      </c>
      <c r="L29" s="143" t="e">
        <f>H29&amp;" "&amp;#REF!</f>
        <v>#REF!</v>
      </c>
      <c r="M29" s="136">
        <f>'Támogatás szorzat tényezői'!$C$19*('Támogatás szorzat tényezői'!$C$15/'Támogatás szorzat tényezői'!$C$14)</f>
        <v>240000</v>
      </c>
      <c r="N29" s="98">
        <f t="shared" si="5"/>
        <v>0</v>
      </c>
      <c r="O29" s="120">
        <f t="shared" si="6"/>
        <v>0</v>
      </c>
      <c r="P29" s="140"/>
      <c r="Q29" s="127">
        <f t="shared" si="7"/>
        <v>0</v>
      </c>
      <c r="R29" s="263" t="str">
        <f t="shared" si="8"/>
        <v/>
      </c>
    </row>
    <row r="30" spans="1:18" ht="30" customHeight="1" x14ac:dyDescent="0.25">
      <c r="A30" s="227"/>
      <c r="B30" s="235"/>
      <c r="C30" s="100"/>
      <c r="D30" s="100"/>
      <c r="E30" s="102"/>
      <c r="F30" s="100"/>
      <c r="G30" s="102"/>
      <c r="H30" s="97" t="str">
        <f>IFERROR(IF(E30="_2017_2018_ősz",VLOOKUP(F30,Háttértáblák!$L$2:$M$331,2,0),IF(E30="_2017_2018_keresztfélév",VLOOKUP(F30,Háttértáblák!$N$2:$O$326,2,0),IF(OR(E30="_2018_2019_ősz",E30="_2019_2020_ősz"),VLOOKUP(F30,Háttértáblák!$S$2:$T$334,2,0),VLOOKUP(F30,Háttértáblák!$U$2:$V$330,2,0)))),"")</f>
        <v/>
      </c>
      <c r="I30" s="97" t="str">
        <f t="shared" si="4"/>
        <v>_</v>
      </c>
      <c r="J30" s="97" t="e">
        <f>IF(#REF!="","",E30&amp;"_"&amp;IF(#REF!=0.5,"fél_év",#REF!))</f>
        <v>#REF!</v>
      </c>
      <c r="K30" s="97" t="str">
        <f>IF(E30="_2019_2020_ősz",VLOOKUP(F30,#REF!,4,0),IF(OR(E30="_2018_2019_ősz",E30="_2018_2019_keresztfélév"),VLOOKUP(F30,#REF!,4,0),IF(E30="_2017_2018_keresztfélév",VLOOKUP(F30,#REF!,4,0),IF(E30="_2017_2018_ősz",VLOOKUP(F30,#REF!,4,0),IF(OR(E30="_2016_2017_ősz",E30="_2016_2017_keresztfélév"),VLOOKUP(F30,#REF!,4,0),"HIBA!")))))</f>
        <v>HIBA!</v>
      </c>
      <c r="L30" s="143" t="e">
        <f>H30&amp;" "&amp;#REF!</f>
        <v>#REF!</v>
      </c>
      <c r="M30" s="136">
        <f>'Támogatás szorzat tényezői'!$C$19*('Támogatás szorzat tényezői'!$C$15/'Támogatás szorzat tényezői'!$C$14)</f>
        <v>240000</v>
      </c>
      <c r="N30" s="98">
        <f t="shared" si="5"/>
        <v>0</v>
      </c>
      <c r="O30" s="120">
        <f t="shared" si="6"/>
        <v>0</v>
      </c>
      <c r="P30" s="140"/>
      <c r="Q30" s="127">
        <f t="shared" si="7"/>
        <v>0</v>
      </c>
      <c r="R30" s="263" t="str">
        <f t="shared" si="8"/>
        <v/>
      </c>
    </row>
    <row r="31" spans="1:18" ht="30" customHeight="1" x14ac:dyDescent="0.25">
      <c r="A31" s="227"/>
      <c r="B31" s="235"/>
      <c r="C31" s="100"/>
      <c r="D31" s="100"/>
      <c r="E31" s="102"/>
      <c r="F31" s="100"/>
      <c r="G31" s="102"/>
      <c r="H31" s="97" t="str">
        <f>IFERROR(IF(E31="_2017_2018_ősz",VLOOKUP(F31,Háttértáblák!$L$2:$M$331,2,0),IF(E31="_2017_2018_keresztfélév",VLOOKUP(F31,Háttértáblák!$N$2:$O$326,2,0),IF(OR(E31="_2018_2019_ősz",E31="_2019_2020_ősz"),VLOOKUP(F31,Háttértáblák!$S$2:$T$334,2,0),VLOOKUP(F31,Háttértáblák!$U$2:$V$330,2,0)))),"")</f>
        <v/>
      </c>
      <c r="I31" s="97" t="str">
        <f t="shared" si="4"/>
        <v>_</v>
      </c>
      <c r="J31" s="97" t="e">
        <f>IF(#REF!="","",E31&amp;"_"&amp;IF(#REF!=0.5,"fél_év",#REF!))</f>
        <v>#REF!</v>
      </c>
      <c r="K31" s="97" t="str">
        <f>IF(E31="_2019_2020_ősz",VLOOKUP(F31,#REF!,4,0),IF(OR(E31="_2018_2019_ősz",E31="_2018_2019_keresztfélév"),VLOOKUP(F31,#REF!,4,0),IF(E31="_2017_2018_keresztfélév",VLOOKUP(F31,#REF!,4,0),IF(E31="_2017_2018_ősz",VLOOKUP(F31,#REF!,4,0),IF(OR(E31="_2016_2017_ősz",E31="_2016_2017_keresztfélév"),VLOOKUP(F31,#REF!,4,0),"HIBA!")))))</f>
        <v>HIBA!</v>
      </c>
      <c r="L31" s="143" t="e">
        <f>H31&amp;" "&amp;#REF!</f>
        <v>#REF!</v>
      </c>
      <c r="M31" s="136">
        <f>'Támogatás szorzat tényezői'!$C$19*('Támogatás szorzat tényezői'!$C$15/'Támogatás szorzat tényezői'!$C$14)</f>
        <v>240000</v>
      </c>
      <c r="N31" s="98">
        <f t="shared" si="5"/>
        <v>0</v>
      </c>
      <c r="O31" s="120">
        <f t="shared" si="6"/>
        <v>0</v>
      </c>
      <c r="P31" s="140"/>
      <c r="Q31" s="127">
        <f t="shared" si="7"/>
        <v>0</v>
      </c>
      <c r="R31" s="263" t="str">
        <f t="shared" si="8"/>
        <v/>
      </c>
    </row>
    <row r="32" spans="1:18" ht="30" customHeight="1" x14ac:dyDescent="0.25">
      <c r="A32" s="227"/>
      <c r="B32" s="235"/>
      <c r="C32" s="100"/>
      <c r="D32" s="100"/>
      <c r="E32" s="102"/>
      <c r="F32" s="100"/>
      <c r="G32" s="102"/>
      <c r="H32" s="97" t="str">
        <f>IFERROR(IF(E32="_2017_2018_ősz",VLOOKUP(F32,Háttértáblák!$L$2:$M$331,2,0),IF(E32="_2017_2018_keresztfélév",VLOOKUP(F32,Háttértáblák!$N$2:$O$326,2,0),IF(OR(E32="_2018_2019_ősz",E32="_2019_2020_ősz"),VLOOKUP(F32,Háttértáblák!$S$2:$T$334,2,0),VLOOKUP(F32,Háttértáblák!$U$2:$V$330,2,0)))),"")</f>
        <v/>
      </c>
      <c r="I32" s="97" t="str">
        <f t="shared" si="4"/>
        <v>_</v>
      </c>
      <c r="J32" s="97" t="e">
        <f>IF(#REF!="","",E32&amp;"_"&amp;IF(#REF!=0.5,"fél_év",#REF!))</f>
        <v>#REF!</v>
      </c>
      <c r="K32" s="97" t="str">
        <f>IF(E32="_2019_2020_ősz",VLOOKUP(F32,#REF!,4,0),IF(OR(E32="_2018_2019_ősz",E32="_2018_2019_keresztfélév"),VLOOKUP(F32,#REF!,4,0),IF(E32="_2017_2018_keresztfélév",VLOOKUP(F32,#REF!,4,0),IF(E32="_2017_2018_ősz",VLOOKUP(F32,#REF!,4,0),IF(OR(E32="_2016_2017_ősz",E32="_2016_2017_keresztfélév"),VLOOKUP(F32,#REF!,4,0),"HIBA!")))))</f>
        <v>HIBA!</v>
      </c>
      <c r="L32" s="143" t="e">
        <f>H32&amp;" "&amp;#REF!</f>
        <v>#REF!</v>
      </c>
      <c r="M32" s="136">
        <f>'Támogatás szorzat tényezői'!$C$19*('Támogatás szorzat tényezői'!$C$15/'Támogatás szorzat tényezői'!$C$14)</f>
        <v>240000</v>
      </c>
      <c r="N32" s="98">
        <f t="shared" si="5"/>
        <v>0</v>
      </c>
      <c r="O32" s="120">
        <f t="shared" si="6"/>
        <v>0</v>
      </c>
      <c r="P32" s="140"/>
      <c r="Q32" s="127">
        <f t="shared" si="7"/>
        <v>0</v>
      </c>
      <c r="R32" s="263" t="str">
        <f t="shared" si="8"/>
        <v/>
      </c>
    </row>
    <row r="33" spans="1:18" ht="30" customHeight="1" x14ac:dyDescent="0.25">
      <c r="A33" s="227"/>
      <c r="B33" s="235"/>
      <c r="C33" s="100"/>
      <c r="D33" s="100"/>
      <c r="E33" s="102"/>
      <c r="F33" s="100"/>
      <c r="G33" s="102"/>
      <c r="H33" s="97" t="str">
        <f>IFERROR(IF(E33="_2017_2018_ősz",VLOOKUP(F33,Háttértáblák!$L$2:$M$331,2,0),IF(E33="_2017_2018_keresztfélév",VLOOKUP(F33,Háttértáblák!$N$2:$O$326,2,0),IF(OR(E33="_2018_2019_ősz",E33="_2019_2020_ősz"),VLOOKUP(F33,Háttértáblák!$S$2:$T$334,2,0),VLOOKUP(F33,Háttértáblák!$U$2:$V$330,2,0)))),"")</f>
        <v/>
      </c>
      <c r="I33" s="97" t="str">
        <f t="shared" si="4"/>
        <v>_</v>
      </c>
      <c r="J33" s="97" t="e">
        <f>IF(#REF!="","",E33&amp;"_"&amp;IF(#REF!=0.5,"fél_év",#REF!))</f>
        <v>#REF!</v>
      </c>
      <c r="K33" s="97" t="str">
        <f>IF(E33="_2019_2020_ősz",VLOOKUP(F33,#REF!,4,0),IF(OR(E33="_2018_2019_ősz",E33="_2018_2019_keresztfélév"),VLOOKUP(F33,#REF!,4,0),IF(E33="_2017_2018_keresztfélév",VLOOKUP(F33,#REF!,4,0),IF(E33="_2017_2018_ősz",VLOOKUP(F33,#REF!,4,0),IF(OR(E33="_2016_2017_ősz",E33="_2016_2017_keresztfélév"),VLOOKUP(F33,#REF!,4,0),"HIBA!")))))</f>
        <v>HIBA!</v>
      </c>
      <c r="L33" s="143" t="e">
        <f>H33&amp;" "&amp;#REF!</f>
        <v>#REF!</v>
      </c>
      <c r="M33" s="136">
        <f>'Támogatás szorzat tényezői'!$C$19*('Támogatás szorzat tényezői'!$C$15/'Támogatás szorzat tényezői'!$C$14)</f>
        <v>240000</v>
      </c>
      <c r="N33" s="98">
        <f t="shared" si="5"/>
        <v>0</v>
      </c>
      <c r="O33" s="120">
        <f t="shared" si="6"/>
        <v>0</v>
      </c>
      <c r="P33" s="140"/>
      <c r="Q33" s="127">
        <f t="shared" si="7"/>
        <v>0</v>
      </c>
      <c r="R33" s="263" t="str">
        <f t="shared" si="8"/>
        <v/>
      </c>
    </row>
    <row r="34" spans="1:18" ht="30" customHeight="1" x14ac:dyDescent="0.25">
      <c r="A34" s="227"/>
      <c r="B34" s="235"/>
      <c r="C34" s="100"/>
      <c r="D34" s="100"/>
      <c r="E34" s="102"/>
      <c r="F34" s="100"/>
      <c r="G34" s="102"/>
      <c r="H34" s="97" t="str">
        <f>IFERROR(IF(E34="_2017_2018_ősz",VLOOKUP(F34,Háttértáblák!$L$2:$M$331,2,0),IF(E34="_2017_2018_keresztfélév",VLOOKUP(F34,Háttértáblák!$N$2:$O$326,2,0),IF(OR(E34="_2018_2019_ősz",E34="_2019_2020_ősz"),VLOOKUP(F34,Háttértáblák!$S$2:$T$334,2,0),VLOOKUP(F34,Háttértáblák!$U$2:$V$330,2,0)))),"")</f>
        <v/>
      </c>
      <c r="I34" s="97" t="str">
        <f t="shared" si="4"/>
        <v>_</v>
      </c>
      <c r="J34" s="97" t="e">
        <f>IF(#REF!="","",E34&amp;"_"&amp;IF(#REF!=0.5,"fél_év",#REF!))</f>
        <v>#REF!</v>
      </c>
      <c r="K34" s="97" t="str">
        <f>IF(E34="_2019_2020_ősz",VLOOKUP(F34,#REF!,4,0),IF(OR(E34="_2018_2019_ősz",E34="_2018_2019_keresztfélév"),VLOOKUP(F34,#REF!,4,0),IF(E34="_2017_2018_keresztfélév",VLOOKUP(F34,#REF!,4,0),IF(E34="_2017_2018_ősz",VLOOKUP(F34,#REF!,4,0),IF(OR(E34="_2016_2017_ősz",E34="_2016_2017_keresztfélév"),VLOOKUP(F34,#REF!,4,0),"HIBA!")))))</f>
        <v>HIBA!</v>
      </c>
      <c r="L34" s="143" t="e">
        <f>H34&amp;" "&amp;#REF!</f>
        <v>#REF!</v>
      </c>
      <c r="M34" s="136">
        <f>'Támogatás szorzat tényezői'!$C$19*('Támogatás szorzat tényezői'!$C$15/'Támogatás szorzat tényezői'!$C$14)</f>
        <v>240000</v>
      </c>
      <c r="N34" s="98">
        <f t="shared" si="5"/>
        <v>0</v>
      </c>
      <c r="O34" s="120">
        <f t="shared" si="6"/>
        <v>0</v>
      </c>
      <c r="P34" s="140"/>
      <c r="Q34" s="127">
        <f t="shared" si="7"/>
        <v>0</v>
      </c>
      <c r="R34" s="263" t="str">
        <f t="shared" si="8"/>
        <v/>
      </c>
    </row>
    <row r="35" spans="1:18" ht="30" customHeight="1" x14ac:dyDescent="0.25">
      <c r="A35" s="227"/>
      <c r="B35" s="235"/>
      <c r="C35" s="100"/>
      <c r="D35" s="100"/>
      <c r="E35" s="102"/>
      <c r="F35" s="100"/>
      <c r="G35" s="102"/>
      <c r="H35" s="97" t="str">
        <f>IFERROR(IF(E35="_2017_2018_ősz",VLOOKUP(F35,Háttértáblák!$L$2:$M$331,2,0),IF(E35="_2017_2018_keresztfélév",VLOOKUP(F35,Háttértáblák!$N$2:$O$326,2,0),IF(OR(E35="_2018_2019_ősz",E35="_2019_2020_ősz"),VLOOKUP(F35,Háttértáblák!$S$2:$T$334,2,0),VLOOKUP(F35,Háttértáblák!$U$2:$V$330,2,0)))),"")</f>
        <v/>
      </c>
      <c r="I35" s="97" t="str">
        <f t="shared" si="4"/>
        <v>_</v>
      </c>
      <c r="J35" s="97" t="e">
        <f>IF(#REF!="","",E35&amp;"_"&amp;IF(#REF!=0.5,"fél_év",#REF!))</f>
        <v>#REF!</v>
      </c>
      <c r="K35" s="97" t="str">
        <f>IF(E35="_2019_2020_ősz",VLOOKUP(F35,#REF!,4,0),IF(OR(E35="_2018_2019_ősz",E35="_2018_2019_keresztfélév"),VLOOKUP(F35,#REF!,4,0),IF(E35="_2017_2018_keresztfélév",VLOOKUP(F35,#REF!,4,0),IF(E35="_2017_2018_ősz",VLOOKUP(F35,#REF!,4,0),IF(OR(E35="_2016_2017_ősz",E35="_2016_2017_keresztfélév"),VLOOKUP(F35,#REF!,4,0),"HIBA!")))))</f>
        <v>HIBA!</v>
      </c>
      <c r="L35" s="143" t="e">
        <f>H35&amp;" "&amp;#REF!</f>
        <v>#REF!</v>
      </c>
      <c r="M35" s="136">
        <f>'Támogatás szorzat tényezői'!$C$19*('Támogatás szorzat tényezői'!$C$15/'Támogatás szorzat tényezői'!$C$14)</f>
        <v>240000</v>
      </c>
      <c r="N35" s="98">
        <f t="shared" si="5"/>
        <v>0</v>
      </c>
      <c r="O35" s="120">
        <f t="shared" si="6"/>
        <v>0</v>
      </c>
      <c r="P35" s="140"/>
      <c r="Q35" s="127">
        <f t="shared" si="7"/>
        <v>0</v>
      </c>
      <c r="R35" s="263" t="str">
        <f t="shared" si="8"/>
        <v/>
      </c>
    </row>
    <row r="36" spans="1:18" ht="30" customHeight="1" x14ac:dyDescent="0.25">
      <c r="A36" s="227"/>
      <c r="B36" s="235"/>
      <c r="C36" s="100"/>
      <c r="D36" s="100"/>
      <c r="E36" s="102"/>
      <c r="F36" s="100"/>
      <c r="G36" s="102"/>
      <c r="H36" s="97" t="str">
        <f>IFERROR(IF(E36="_2017_2018_ősz",VLOOKUP(F36,Háttértáblák!$L$2:$M$331,2,0),IF(E36="_2017_2018_keresztfélév",VLOOKUP(F36,Háttértáblák!$N$2:$O$326,2,0),IF(OR(E36="_2018_2019_ősz",E36="_2019_2020_ősz"),VLOOKUP(F36,Háttértáblák!$S$2:$T$334,2,0),VLOOKUP(F36,Háttértáblák!$U$2:$V$330,2,0)))),"")</f>
        <v/>
      </c>
      <c r="I36" s="97" t="str">
        <f t="shared" si="4"/>
        <v>_</v>
      </c>
      <c r="J36" s="97" t="e">
        <f>IF(#REF!="","",E36&amp;"_"&amp;IF(#REF!=0.5,"fél_év",#REF!))</f>
        <v>#REF!</v>
      </c>
      <c r="K36" s="97" t="str">
        <f>IF(E36="_2019_2020_ősz",VLOOKUP(F36,#REF!,4,0),IF(OR(E36="_2018_2019_ősz",E36="_2018_2019_keresztfélév"),VLOOKUP(F36,#REF!,4,0),IF(E36="_2017_2018_keresztfélév",VLOOKUP(F36,#REF!,4,0),IF(E36="_2017_2018_ősz",VLOOKUP(F36,#REF!,4,0),IF(OR(E36="_2016_2017_ősz",E36="_2016_2017_keresztfélév"),VLOOKUP(F36,#REF!,4,0),"HIBA!")))))</f>
        <v>HIBA!</v>
      </c>
      <c r="L36" s="143" t="e">
        <f>H36&amp;" "&amp;#REF!</f>
        <v>#REF!</v>
      </c>
      <c r="M36" s="136">
        <f>'Támogatás szorzat tényezői'!$C$19*('Támogatás szorzat tényezői'!$C$15/'Támogatás szorzat tényezői'!$C$14)</f>
        <v>240000</v>
      </c>
      <c r="N36" s="98">
        <f t="shared" si="5"/>
        <v>0</v>
      </c>
      <c r="O36" s="120">
        <f t="shared" si="6"/>
        <v>0</v>
      </c>
      <c r="P36" s="140"/>
      <c r="Q36" s="127">
        <f t="shared" si="7"/>
        <v>0</v>
      </c>
      <c r="R36" s="263" t="str">
        <f t="shared" si="8"/>
        <v/>
      </c>
    </row>
    <row r="37" spans="1:18" ht="30" customHeight="1" x14ac:dyDescent="0.25">
      <c r="A37" s="227"/>
      <c r="B37" s="235"/>
      <c r="C37" s="100"/>
      <c r="D37" s="100"/>
      <c r="E37" s="102"/>
      <c r="F37" s="100"/>
      <c r="G37" s="102"/>
      <c r="H37" s="97" t="str">
        <f>IFERROR(IF(E37="_2017_2018_ősz",VLOOKUP(F37,Háttértáblák!$L$2:$M$331,2,0),IF(E37="_2017_2018_keresztfélév",VLOOKUP(F37,Háttértáblák!$N$2:$O$326,2,0),IF(OR(E37="_2018_2019_ősz",E37="_2019_2020_ősz"),VLOOKUP(F37,Háttértáblák!$S$2:$T$334,2,0),VLOOKUP(F37,Háttértáblák!$U$2:$V$330,2,0)))),"")</f>
        <v/>
      </c>
      <c r="I37" s="97" t="str">
        <f t="shared" si="4"/>
        <v>_</v>
      </c>
      <c r="J37" s="97" t="e">
        <f>IF(#REF!="","",E37&amp;"_"&amp;IF(#REF!=0.5,"fél_év",#REF!))</f>
        <v>#REF!</v>
      </c>
      <c r="K37" s="97" t="str">
        <f>IF(E37="_2019_2020_ősz",VLOOKUP(F37,#REF!,4,0),IF(OR(E37="_2018_2019_ősz",E37="_2018_2019_keresztfélév"),VLOOKUP(F37,#REF!,4,0),IF(E37="_2017_2018_keresztfélév",VLOOKUP(F37,#REF!,4,0),IF(E37="_2017_2018_ősz",VLOOKUP(F37,#REF!,4,0),IF(OR(E37="_2016_2017_ősz",E37="_2016_2017_keresztfélév"),VLOOKUP(F37,#REF!,4,0),"HIBA!")))))</f>
        <v>HIBA!</v>
      </c>
      <c r="L37" s="143" t="e">
        <f>H37&amp;" "&amp;#REF!</f>
        <v>#REF!</v>
      </c>
      <c r="M37" s="136">
        <f>'Támogatás szorzat tényezői'!$C$19*('Támogatás szorzat tényezői'!$C$15/'Támogatás szorzat tényezői'!$C$14)</f>
        <v>240000</v>
      </c>
      <c r="N37" s="98">
        <f t="shared" si="5"/>
        <v>0</v>
      </c>
      <c r="O37" s="120">
        <f t="shared" si="6"/>
        <v>0</v>
      </c>
      <c r="P37" s="140"/>
      <c r="Q37" s="127">
        <f t="shared" si="7"/>
        <v>0</v>
      </c>
      <c r="R37" s="263" t="str">
        <f t="shared" si="8"/>
        <v/>
      </c>
    </row>
    <row r="38" spans="1:18" ht="30" customHeight="1" x14ac:dyDescent="0.25">
      <c r="A38" s="227"/>
      <c r="B38" s="235"/>
      <c r="C38" s="100"/>
      <c r="D38" s="100"/>
      <c r="E38" s="102"/>
      <c r="F38" s="100"/>
      <c r="G38" s="102"/>
      <c r="H38" s="97" t="str">
        <f>IFERROR(IF(E38="_2017_2018_ősz",VLOOKUP(F38,Háttértáblák!$L$2:$M$331,2,0),IF(E38="_2017_2018_keresztfélév",VLOOKUP(F38,Háttértáblák!$N$2:$O$326,2,0),IF(OR(E38="_2018_2019_ősz",E38="_2019_2020_ősz"),VLOOKUP(F38,Háttértáblák!$S$2:$T$334,2,0),VLOOKUP(F38,Háttértáblák!$U$2:$V$330,2,0)))),"")</f>
        <v/>
      </c>
      <c r="I38" s="97" t="str">
        <f t="shared" si="4"/>
        <v>_</v>
      </c>
      <c r="J38" s="97" t="e">
        <f>IF(#REF!="","",E38&amp;"_"&amp;IF(#REF!=0.5,"fél_év",#REF!))</f>
        <v>#REF!</v>
      </c>
      <c r="K38" s="97" t="str">
        <f>IF(E38="_2019_2020_ősz",VLOOKUP(F38,#REF!,4,0),IF(OR(E38="_2018_2019_ősz",E38="_2018_2019_keresztfélév"),VLOOKUP(F38,#REF!,4,0),IF(E38="_2017_2018_keresztfélév",VLOOKUP(F38,#REF!,4,0),IF(E38="_2017_2018_ősz",VLOOKUP(F38,#REF!,4,0),IF(OR(E38="_2016_2017_ősz",E38="_2016_2017_keresztfélév"),VLOOKUP(F38,#REF!,4,0),"HIBA!")))))</f>
        <v>HIBA!</v>
      </c>
      <c r="L38" s="143" t="e">
        <f>H38&amp;" "&amp;#REF!</f>
        <v>#REF!</v>
      </c>
      <c r="M38" s="136">
        <f>'Támogatás szorzat tényezői'!$C$19*('Támogatás szorzat tényezői'!$C$15/'Támogatás szorzat tényezői'!$C$14)</f>
        <v>240000</v>
      </c>
      <c r="N38" s="98">
        <f t="shared" si="5"/>
        <v>0</v>
      </c>
      <c r="O38" s="120">
        <f t="shared" si="6"/>
        <v>0</v>
      </c>
      <c r="P38" s="140"/>
      <c r="Q38" s="127">
        <f t="shared" si="7"/>
        <v>0</v>
      </c>
      <c r="R38" s="263" t="str">
        <f t="shared" si="8"/>
        <v/>
      </c>
    </row>
    <row r="39" spans="1:18" ht="30" customHeight="1" x14ac:dyDescent="0.25">
      <c r="A39" s="227"/>
      <c r="B39" s="235"/>
      <c r="C39" s="100"/>
      <c r="D39" s="100"/>
      <c r="E39" s="102"/>
      <c r="F39" s="100"/>
      <c r="G39" s="102"/>
      <c r="H39" s="97" t="str">
        <f>IFERROR(IF(E39="_2017_2018_ősz",VLOOKUP(F39,Háttértáblák!$L$2:$M$331,2,0),IF(E39="_2017_2018_keresztfélév",VLOOKUP(F39,Háttértáblák!$N$2:$O$326,2,0),IF(OR(E39="_2018_2019_ősz",E39="_2019_2020_ősz"),VLOOKUP(F39,Háttértáblák!$S$2:$T$334,2,0),VLOOKUP(F39,Háttértáblák!$U$2:$V$330,2,0)))),"")</f>
        <v/>
      </c>
      <c r="I39" s="97" t="str">
        <f t="shared" si="4"/>
        <v>_</v>
      </c>
      <c r="J39" s="97" t="e">
        <f>IF(#REF!="","",E39&amp;"_"&amp;IF(#REF!=0.5,"fél_év",#REF!))</f>
        <v>#REF!</v>
      </c>
      <c r="K39" s="97" t="str">
        <f>IF(E39="_2019_2020_ősz",VLOOKUP(F39,#REF!,4,0),IF(OR(E39="_2018_2019_ősz",E39="_2018_2019_keresztfélév"),VLOOKUP(F39,#REF!,4,0),IF(E39="_2017_2018_keresztfélév",VLOOKUP(F39,#REF!,4,0),IF(E39="_2017_2018_ősz",VLOOKUP(F39,#REF!,4,0),IF(OR(E39="_2016_2017_ősz",E39="_2016_2017_keresztfélév"),VLOOKUP(F39,#REF!,4,0),"HIBA!")))))</f>
        <v>HIBA!</v>
      </c>
      <c r="L39" s="143" t="e">
        <f>H39&amp;" "&amp;#REF!</f>
        <v>#REF!</v>
      </c>
      <c r="M39" s="136">
        <f>'Támogatás szorzat tényezői'!$C$19*('Támogatás szorzat tényezői'!$C$15/'Támogatás szorzat tényezői'!$C$14)</f>
        <v>240000</v>
      </c>
      <c r="N39" s="98">
        <f t="shared" si="5"/>
        <v>0</v>
      </c>
      <c r="O39" s="120">
        <f t="shared" si="6"/>
        <v>0</v>
      </c>
      <c r="P39" s="140"/>
      <c r="Q39" s="127">
        <f t="shared" si="7"/>
        <v>0</v>
      </c>
      <c r="R39" s="263" t="str">
        <f t="shared" si="8"/>
        <v/>
      </c>
    </row>
    <row r="40" spans="1:18" ht="30" customHeight="1" x14ac:dyDescent="0.25">
      <c r="A40" s="227"/>
      <c r="B40" s="235"/>
      <c r="C40" s="100"/>
      <c r="D40" s="100"/>
      <c r="E40" s="102"/>
      <c r="F40" s="100"/>
      <c r="G40" s="102"/>
      <c r="H40" s="97" t="str">
        <f>IFERROR(IF(E40="_2017_2018_ősz",VLOOKUP(F40,Háttértáblák!$L$2:$M$331,2,0),IF(E40="_2017_2018_keresztfélév",VLOOKUP(F40,Háttértáblák!$N$2:$O$326,2,0),IF(OR(E40="_2018_2019_ősz",E40="_2019_2020_ősz"),VLOOKUP(F40,Háttértáblák!$S$2:$T$334,2,0),VLOOKUP(F40,Háttértáblák!$U$2:$V$330,2,0)))),"")</f>
        <v/>
      </c>
      <c r="I40" s="97" t="str">
        <f t="shared" si="4"/>
        <v>_</v>
      </c>
      <c r="J40" s="97" t="e">
        <f>IF(#REF!="","",E40&amp;"_"&amp;IF(#REF!=0.5,"fél_év",#REF!))</f>
        <v>#REF!</v>
      </c>
      <c r="K40" s="97" t="str">
        <f>IF(E40="_2019_2020_ősz",VLOOKUP(F40,#REF!,4,0),IF(OR(E40="_2018_2019_ősz",E40="_2018_2019_keresztfélév"),VLOOKUP(F40,#REF!,4,0),IF(E40="_2017_2018_keresztfélév",VLOOKUP(F40,#REF!,4,0),IF(E40="_2017_2018_ősz",VLOOKUP(F40,#REF!,4,0),IF(OR(E40="_2016_2017_ősz",E40="_2016_2017_keresztfélév"),VLOOKUP(F40,#REF!,4,0),"HIBA!")))))</f>
        <v>HIBA!</v>
      </c>
      <c r="L40" s="143" t="e">
        <f>H40&amp;" "&amp;#REF!</f>
        <v>#REF!</v>
      </c>
      <c r="M40" s="136">
        <f>'Támogatás szorzat tényezői'!$C$19*('Támogatás szorzat tényezői'!$C$15/'Támogatás szorzat tényezői'!$C$14)</f>
        <v>240000</v>
      </c>
      <c r="N40" s="98">
        <f t="shared" si="5"/>
        <v>0</v>
      </c>
      <c r="O40" s="120">
        <f t="shared" si="6"/>
        <v>0</v>
      </c>
      <c r="P40" s="140"/>
      <c r="Q40" s="127">
        <f t="shared" si="7"/>
        <v>0</v>
      </c>
      <c r="R40" s="263" t="str">
        <f t="shared" si="8"/>
        <v/>
      </c>
    </row>
    <row r="41" spans="1:18" ht="30" customHeight="1" x14ac:dyDescent="0.25">
      <c r="A41" s="227"/>
      <c r="B41" s="235"/>
      <c r="C41" s="100"/>
      <c r="D41" s="100"/>
      <c r="E41" s="102"/>
      <c r="F41" s="100"/>
      <c r="G41" s="102"/>
      <c r="H41" s="97" t="str">
        <f>IFERROR(IF(E41="_2017_2018_ősz",VLOOKUP(F41,Háttértáblák!$L$2:$M$331,2,0),IF(E41="_2017_2018_keresztfélév",VLOOKUP(F41,Háttértáblák!$N$2:$O$326,2,0),IF(OR(E41="_2018_2019_ősz",E41="_2019_2020_ősz"),VLOOKUP(F41,Háttértáblák!$S$2:$T$334,2,0),VLOOKUP(F41,Háttértáblák!$U$2:$V$330,2,0)))),"")</f>
        <v/>
      </c>
      <c r="I41" s="97" t="str">
        <f t="shared" si="4"/>
        <v>_</v>
      </c>
      <c r="J41" s="97" t="e">
        <f>IF(#REF!="","",E41&amp;"_"&amp;IF(#REF!=0.5,"fél_év",#REF!))</f>
        <v>#REF!</v>
      </c>
      <c r="K41" s="97" t="str">
        <f>IF(E41="_2019_2020_ősz",VLOOKUP(F41,#REF!,4,0),IF(OR(E41="_2018_2019_ősz",E41="_2018_2019_keresztfélév"),VLOOKUP(F41,#REF!,4,0),IF(E41="_2017_2018_keresztfélév",VLOOKUP(F41,#REF!,4,0),IF(E41="_2017_2018_ősz",VLOOKUP(F41,#REF!,4,0),IF(OR(E41="_2016_2017_ősz",E41="_2016_2017_keresztfélév"),VLOOKUP(F41,#REF!,4,0),"HIBA!")))))</f>
        <v>HIBA!</v>
      </c>
      <c r="L41" s="143" t="e">
        <f>H41&amp;" "&amp;#REF!</f>
        <v>#REF!</v>
      </c>
      <c r="M41" s="136">
        <f>'Támogatás szorzat tényezői'!$C$19*('Támogatás szorzat tényezői'!$C$15/'Támogatás szorzat tényezői'!$C$14)</f>
        <v>240000</v>
      </c>
      <c r="N41" s="98">
        <f t="shared" si="5"/>
        <v>0</v>
      </c>
      <c r="O41" s="120">
        <f t="shared" si="6"/>
        <v>0</v>
      </c>
      <c r="P41" s="140"/>
      <c r="Q41" s="127">
        <f t="shared" si="7"/>
        <v>0</v>
      </c>
      <c r="R41" s="263" t="str">
        <f t="shared" si="8"/>
        <v/>
      </c>
    </row>
    <row r="42" spans="1:18" ht="30" customHeight="1" x14ac:dyDescent="0.25">
      <c r="A42" s="227"/>
      <c r="B42" s="235"/>
      <c r="C42" s="100"/>
      <c r="D42" s="100"/>
      <c r="E42" s="102"/>
      <c r="F42" s="100"/>
      <c r="G42" s="102"/>
      <c r="H42" s="97" t="str">
        <f>IFERROR(IF(E42="_2017_2018_ősz",VLOOKUP(F42,Háttértáblák!$L$2:$M$331,2,0),IF(E42="_2017_2018_keresztfélév",VLOOKUP(F42,Háttértáblák!$N$2:$O$326,2,0),IF(OR(E42="_2018_2019_ősz",E42="_2019_2020_ősz"),VLOOKUP(F42,Háttértáblák!$S$2:$T$334,2,0),VLOOKUP(F42,Háttértáblák!$U$2:$V$330,2,0)))),"")</f>
        <v/>
      </c>
      <c r="I42" s="97" t="str">
        <f t="shared" si="4"/>
        <v>_</v>
      </c>
      <c r="J42" s="97" t="e">
        <f>IF(#REF!="","",E42&amp;"_"&amp;IF(#REF!=0.5,"fél_év",#REF!))</f>
        <v>#REF!</v>
      </c>
      <c r="K42" s="97" t="str">
        <f>IF(E42="_2019_2020_ősz",VLOOKUP(F42,#REF!,4,0),IF(OR(E42="_2018_2019_ősz",E42="_2018_2019_keresztfélév"),VLOOKUP(F42,#REF!,4,0),IF(E42="_2017_2018_keresztfélév",VLOOKUP(F42,#REF!,4,0),IF(E42="_2017_2018_ősz",VLOOKUP(F42,#REF!,4,0),IF(OR(E42="_2016_2017_ősz",E42="_2016_2017_keresztfélév"),VLOOKUP(F42,#REF!,4,0),"HIBA!")))))</f>
        <v>HIBA!</v>
      </c>
      <c r="L42" s="143" t="e">
        <f>H42&amp;" "&amp;#REF!</f>
        <v>#REF!</v>
      </c>
      <c r="M42" s="136">
        <f>'Támogatás szorzat tényezői'!$C$19*('Támogatás szorzat tényezői'!$C$15/'Támogatás szorzat tényezői'!$C$14)</f>
        <v>240000</v>
      </c>
      <c r="N42" s="98">
        <f t="shared" si="5"/>
        <v>0</v>
      </c>
      <c r="O42" s="120">
        <f t="shared" si="6"/>
        <v>0</v>
      </c>
      <c r="P42" s="140"/>
      <c r="Q42" s="127">
        <f t="shared" si="7"/>
        <v>0</v>
      </c>
      <c r="R42" s="263" t="str">
        <f t="shared" si="8"/>
        <v/>
      </c>
    </row>
    <row r="43" spans="1:18" ht="30" customHeight="1" x14ac:dyDescent="0.25">
      <c r="A43" s="227"/>
      <c r="B43" s="235"/>
      <c r="C43" s="100"/>
      <c r="D43" s="100"/>
      <c r="E43" s="102"/>
      <c r="F43" s="100"/>
      <c r="G43" s="102"/>
      <c r="H43" s="97" t="str">
        <f>IFERROR(IF(E43="_2017_2018_ősz",VLOOKUP(F43,Háttértáblák!$L$2:$M$331,2,0),IF(E43="_2017_2018_keresztfélév",VLOOKUP(F43,Háttértáblák!$N$2:$O$326,2,0),IF(OR(E43="_2018_2019_ősz",E43="_2019_2020_ősz"),VLOOKUP(F43,Háttértáblák!$S$2:$T$334,2,0),VLOOKUP(F43,Háttértáblák!$U$2:$V$330,2,0)))),"")</f>
        <v/>
      </c>
      <c r="I43" s="97" t="str">
        <f t="shared" si="4"/>
        <v>_</v>
      </c>
      <c r="J43" s="97" t="e">
        <f>IF(#REF!="","",E43&amp;"_"&amp;IF(#REF!=0.5,"fél_év",#REF!))</f>
        <v>#REF!</v>
      </c>
      <c r="K43" s="97" t="str">
        <f>IF(E43="_2019_2020_ősz",VLOOKUP(F43,#REF!,4,0),IF(OR(E43="_2018_2019_ősz",E43="_2018_2019_keresztfélév"),VLOOKUP(F43,#REF!,4,0),IF(E43="_2017_2018_keresztfélév",VLOOKUP(F43,#REF!,4,0),IF(E43="_2017_2018_ősz",VLOOKUP(F43,#REF!,4,0),IF(OR(E43="_2016_2017_ősz",E43="_2016_2017_keresztfélév"),VLOOKUP(F43,#REF!,4,0),"HIBA!")))))</f>
        <v>HIBA!</v>
      </c>
      <c r="L43" s="143" t="e">
        <f>H43&amp;" "&amp;#REF!</f>
        <v>#REF!</v>
      </c>
      <c r="M43" s="136">
        <f>'Támogatás szorzat tényezői'!$C$19*('Támogatás szorzat tényezői'!$C$15/'Támogatás szorzat tényezői'!$C$14)</f>
        <v>240000</v>
      </c>
      <c r="N43" s="98">
        <f t="shared" si="5"/>
        <v>0</v>
      </c>
      <c r="O43" s="120">
        <f t="shared" si="6"/>
        <v>0</v>
      </c>
      <c r="P43" s="140"/>
      <c r="Q43" s="127">
        <f t="shared" si="7"/>
        <v>0</v>
      </c>
      <c r="R43" s="263" t="str">
        <f t="shared" si="8"/>
        <v/>
      </c>
    </row>
    <row r="44" spans="1:18" ht="30" customHeight="1" x14ac:dyDescent="0.25">
      <c r="A44" s="227"/>
      <c r="B44" s="235"/>
      <c r="C44" s="100"/>
      <c r="D44" s="100"/>
      <c r="E44" s="102"/>
      <c r="F44" s="100"/>
      <c r="G44" s="102"/>
      <c r="H44" s="97" t="str">
        <f>IFERROR(IF(E44="_2017_2018_ősz",VLOOKUP(F44,Háttértáblák!$L$2:$M$331,2,0),IF(E44="_2017_2018_keresztfélév",VLOOKUP(F44,Háttértáblák!$N$2:$O$326,2,0),IF(OR(E44="_2018_2019_ősz",E44="_2019_2020_ősz"),VLOOKUP(F44,Háttértáblák!$S$2:$T$334,2,0),VLOOKUP(F44,Háttértáblák!$U$2:$V$330,2,0)))),"")</f>
        <v/>
      </c>
      <c r="I44" s="97" t="str">
        <f t="shared" si="4"/>
        <v>_</v>
      </c>
      <c r="J44" s="97" t="e">
        <f>IF(#REF!="","",E44&amp;"_"&amp;IF(#REF!=0.5,"fél_év",#REF!))</f>
        <v>#REF!</v>
      </c>
      <c r="K44" s="97" t="str">
        <f>IF(E44="_2019_2020_ősz",VLOOKUP(F44,#REF!,4,0),IF(OR(E44="_2018_2019_ősz",E44="_2018_2019_keresztfélév"),VLOOKUP(F44,#REF!,4,0),IF(E44="_2017_2018_keresztfélév",VLOOKUP(F44,#REF!,4,0),IF(E44="_2017_2018_ősz",VLOOKUP(F44,#REF!,4,0),IF(OR(E44="_2016_2017_ősz",E44="_2016_2017_keresztfélév"),VLOOKUP(F44,#REF!,4,0),"HIBA!")))))</f>
        <v>HIBA!</v>
      </c>
      <c r="L44" s="143" t="e">
        <f>H44&amp;" "&amp;#REF!</f>
        <v>#REF!</v>
      </c>
      <c r="M44" s="136">
        <f>'Támogatás szorzat tényezői'!$C$19*('Támogatás szorzat tényezői'!$C$15/'Támogatás szorzat tényezői'!$C$14)</f>
        <v>240000</v>
      </c>
      <c r="N44" s="98">
        <f t="shared" si="5"/>
        <v>0</v>
      </c>
      <c r="O44" s="120">
        <f t="shared" si="6"/>
        <v>0</v>
      </c>
      <c r="P44" s="140"/>
      <c r="Q44" s="127">
        <f t="shared" si="7"/>
        <v>0</v>
      </c>
      <c r="R44" s="263" t="str">
        <f t="shared" si="8"/>
        <v/>
      </c>
    </row>
    <row r="45" spans="1:18" ht="30" customHeight="1" x14ac:dyDescent="0.25">
      <c r="A45" s="227"/>
      <c r="B45" s="235"/>
      <c r="C45" s="100"/>
      <c r="D45" s="100"/>
      <c r="E45" s="102"/>
      <c r="F45" s="100"/>
      <c r="G45" s="102"/>
      <c r="H45" s="97" t="str">
        <f>IFERROR(IF(E45="_2017_2018_ősz",VLOOKUP(F45,Háttértáblák!$L$2:$M$331,2,0),IF(E45="_2017_2018_keresztfélév",VLOOKUP(F45,Háttértáblák!$N$2:$O$326,2,0),IF(OR(E45="_2018_2019_ősz",E45="_2019_2020_ősz"),VLOOKUP(F45,Háttértáblák!$S$2:$T$334,2,0),VLOOKUP(F45,Háttértáblák!$U$2:$V$330,2,0)))),"")</f>
        <v/>
      </c>
      <c r="I45" s="97" t="str">
        <f t="shared" si="4"/>
        <v>_</v>
      </c>
      <c r="J45" s="97" t="e">
        <f>IF(#REF!="","",E45&amp;"_"&amp;IF(#REF!=0.5,"fél_év",#REF!))</f>
        <v>#REF!</v>
      </c>
      <c r="K45" s="97" t="str">
        <f>IF(E45="_2019_2020_ősz",VLOOKUP(F45,#REF!,4,0),IF(OR(E45="_2018_2019_ősz",E45="_2018_2019_keresztfélév"),VLOOKUP(F45,#REF!,4,0),IF(E45="_2017_2018_keresztfélév",VLOOKUP(F45,#REF!,4,0),IF(E45="_2017_2018_ősz",VLOOKUP(F45,#REF!,4,0),IF(OR(E45="_2016_2017_ősz",E45="_2016_2017_keresztfélév"),VLOOKUP(F45,#REF!,4,0),"HIBA!")))))</f>
        <v>HIBA!</v>
      </c>
      <c r="L45" s="143" t="e">
        <f>H45&amp;" "&amp;#REF!</f>
        <v>#REF!</v>
      </c>
      <c r="M45" s="136">
        <f>'Támogatás szorzat tényezői'!$C$19*('Támogatás szorzat tényezői'!$C$15/'Támogatás szorzat tényezői'!$C$14)</f>
        <v>240000</v>
      </c>
      <c r="N45" s="98">
        <f t="shared" si="5"/>
        <v>0</v>
      </c>
      <c r="O45" s="120">
        <f t="shared" si="6"/>
        <v>0</v>
      </c>
      <c r="P45" s="140"/>
      <c r="Q45" s="127">
        <f t="shared" si="7"/>
        <v>0</v>
      </c>
      <c r="R45" s="263" t="str">
        <f t="shared" si="8"/>
        <v/>
      </c>
    </row>
    <row r="46" spans="1:18" ht="30" customHeight="1" x14ac:dyDescent="0.25">
      <c r="A46" s="227"/>
      <c r="B46" s="235"/>
      <c r="C46" s="100"/>
      <c r="D46" s="100"/>
      <c r="E46" s="102"/>
      <c r="F46" s="100"/>
      <c r="G46" s="102"/>
      <c r="H46" s="97" t="str">
        <f>IFERROR(IF(E46="_2017_2018_ősz",VLOOKUP(F46,Háttértáblák!$L$2:$M$331,2,0),IF(E46="_2017_2018_keresztfélév",VLOOKUP(F46,Háttértáblák!$N$2:$O$326,2,0),IF(OR(E46="_2018_2019_ősz",E46="_2019_2020_ősz"),VLOOKUP(F46,Háttértáblák!$S$2:$T$334,2,0),VLOOKUP(F46,Háttértáblák!$U$2:$V$330,2,0)))),"")</f>
        <v/>
      </c>
      <c r="I46" s="97" t="str">
        <f t="shared" si="4"/>
        <v>_</v>
      </c>
      <c r="J46" s="97" t="e">
        <f>IF(#REF!="","",E46&amp;"_"&amp;IF(#REF!=0.5,"fél_év",#REF!))</f>
        <v>#REF!</v>
      </c>
      <c r="K46" s="97" t="str">
        <f>IF(E46="_2019_2020_ősz",VLOOKUP(F46,#REF!,4,0),IF(OR(E46="_2018_2019_ősz",E46="_2018_2019_keresztfélév"),VLOOKUP(F46,#REF!,4,0),IF(E46="_2017_2018_keresztfélév",VLOOKUP(F46,#REF!,4,0),IF(E46="_2017_2018_ősz",VLOOKUP(F46,#REF!,4,0),IF(OR(E46="_2016_2017_ősz",E46="_2016_2017_keresztfélév"),VLOOKUP(F46,#REF!,4,0),"HIBA!")))))</f>
        <v>HIBA!</v>
      </c>
      <c r="L46" s="143" t="e">
        <f>H46&amp;" "&amp;#REF!</f>
        <v>#REF!</v>
      </c>
      <c r="M46" s="136">
        <f>'Támogatás szorzat tényezői'!$C$19*('Támogatás szorzat tényezői'!$C$15/'Támogatás szorzat tényezői'!$C$14)</f>
        <v>240000</v>
      </c>
      <c r="N46" s="98">
        <f t="shared" si="5"/>
        <v>0</v>
      </c>
      <c r="O46" s="120">
        <f t="shared" si="6"/>
        <v>0</v>
      </c>
      <c r="P46" s="140"/>
      <c r="Q46" s="127">
        <f t="shared" si="7"/>
        <v>0</v>
      </c>
      <c r="R46" s="263" t="str">
        <f t="shared" si="8"/>
        <v/>
      </c>
    </row>
    <row r="47" spans="1:18" ht="30" customHeight="1" x14ac:dyDescent="0.25">
      <c r="A47" s="227"/>
      <c r="B47" s="235"/>
      <c r="C47" s="100"/>
      <c r="D47" s="100"/>
      <c r="E47" s="102"/>
      <c r="F47" s="100"/>
      <c r="G47" s="102"/>
      <c r="H47" s="97" t="str">
        <f>IFERROR(IF(E47="_2017_2018_ősz",VLOOKUP(F47,Háttértáblák!$L$2:$M$331,2,0),IF(E47="_2017_2018_keresztfélév",VLOOKUP(F47,Háttértáblák!$N$2:$O$326,2,0),IF(OR(E47="_2018_2019_ősz",E47="_2019_2020_ősz"),VLOOKUP(F47,Háttértáblák!$S$2:$T$334,2,0),VLOOKUP(F47,Háttértáblák!$U$2:$V$330,2,0)))),"")</f>
        <v/>
      </c>
      <c r="I47" s="97" t="str">
        <f t="shared" si="4"/>
        <v>_</v>
      </c>
      <c r="J47" s="97" t="e">
        <f>IF(#REF!="","",E47&amp;"_"&amp;IF(#REF!=0.5,"fél_év",#REF!))</f>
        <v>#REF!</v>
      </c>
      <c r="K47" s="97" t="str">
        <f>IF(E47="_2019_2020_ősz",VLOOKUP(F47,#REF!,4,0),IF(OR(E47="_2018_2019_ősz",E47="_2018_2019_keresztfélév"),VLOOKUP(F47,#REF!,4,0),IF(E47="_2017_2018_keresztfélév",VLOOKUP(F47,#REF!,4,0),IF(E47="_2017_2018_ősz",VLOOKUP(F47,#REF!,4,0),IF(OR(E47="_2016_2017_ősz",E47="_2016_2017_keresztfélév"),VLOOKUP(F47,#REF!,4,0),"HIBA!")))))</f>
        <v>HIBA!</v>
      </c>
      <c r="L47" s="143" t="e">
        <f>H47&amp;" "&amp;#REF!</f>
        <v>#REF!</v>
      </c>
      <c r="M47" s="136">
        <f>'Támogatás szorzat tényezői'!$C$19*('Támogatás szorzat tényezői'!$C$15/'Támogatás szorzat tényezői'!$C$14)</f>
        <v>240000</v>
      </c>
      <c r="N47" s="98">
        <f t="shared" si="5"/>
        <v>0</v>
      </c>
      <c r="O47" s="120">
        <f t="shared" si="6"/>
        <v>0</v>
      </c>
      <c r="P47" s="140"/>
      <c r="Q47" s="127">
        <f t="shared" si="7"/>
        <v>0</v>
      </c>
      <c r="R47" s="263" t="str">
        <f t="shared" si="8"/>
        <v/>
      </c>
    </row>
    <row r="48" spans="1:18" ht="30" customHeight="1" x14ac:dyDescent="0.25">
      <c r="A48" s="227"/>
      <c r="B48" s="235"/>
      <c r="C48" s="100"/>
      <c r="D48" s="100"/>
      <c r="E48" s="102"/>
      <c r="F48" s="100"/>
      <c r="G48" s="102"/>
      <c r="H48" s="97" t="str">
        <f>IFERROR(IF(E48="_2017_2018_ősz",VLOOKUP(F48,Háttértáblák!$L$2:$M$331,2,0),IF(E48="_2017_2018_keresztfélév",VLOOKUP(F48,Háttértáblák!$N$2:$O$326,2,0),IF(OR(E48="_2018_2019_ősz",E48="_2019_2020_ősz"),VLOOKUP(F48,Háttértáblák!$S$2:$T$334,2,0),VLOOKUP(F48,Háttértáblák!$U$2:$V$330,2,0)))),"")</f>
        <v/>
      </c>
      <c r="I48" s="97" t="str">
        <f t="shared" si="4"/>
        <v>_</v>
      </c>
      <c r="J48" s="97" t="e">
        <f>IF(#REF!="","",E48&amp;"_"&amp;IF(#REF!=0.5,"fél_év",#REF!))</f>
        <v>#REF!</v>
      </c>
      <c r="K48" s="97" t="str">
        <f>IF(E48="_2019_2020_ősz",VLOOKUP(F48,#REF!,4,0),IF(OR(E48="_2018_2019_ősz",E48="_2018_2019_keresztfélév"),VLOOKUP(F48,#REF!,4,0),IF(E48="_2017_2018_keresztfélév",VLOOKUP(F48,#REF!,4,0),IF(E48="_2017_2018_ősz",VLOOKUP(F48,#REF!,4,0),IF(OR(E48="_2016_2017_ősz",E48="_2016_2017_keresztfélév"),VLOOKUP(F48,#REF!,4,0),"HIBA!")))))</f>
        <v>HIBA!</v>
      </c>
      <c r="L48" s="143" t="e">
        <f>H48&amp;" "&amp;#REF!</f>
        <v>#REF!</v>
      </c>
      <c r="M48" s="136">
        <f>'Támogatás szorzat tényezői'!$C$19*('Támogatás szorzat tényezői'!$C$15/'Támogatás szorzat tényezői'!$C$14)</f>
        <v>240000</v>
      </c>
      <c r="N48" s="98">
        <f t="shared" si="5"/>
        <v>0</v>
      </c>
      <c r="O48" s="120">
        <f t="shared" si="6"/>
        <v>0</v>
      </c>
      <c r="P48" s="140"/>
      <c r="Q48" s="127">
        <f t="shared" si="7"/>
        <v>0</v>
      </c>
      <c r="R48" s="263" t="str">
        <f t="shared" si="8"/>
        <v/>
      </c>
    </row>
    <row r="49" spans="1:18" ht="30" customHeight="1" x14ac:dyDescent="0.25">
      <c r="A49" s="227"/>
      <c r="B49" s="235"/>
      <c r="C49" s="100"/>
      <c r="D49" s="100"/>
      <c r="E49" s="102"/>
      <c r="F49" s="100"/>
      <c r="G49" s="102"/>
      <c r="H49" s="97" t="str">
        <f>IFERROR(IF(E49="_2017_2018_ősz",VLOOKUP(F49,Háttértáblák!$L$2:$M$331,2,0),IF(E49="_2017_2018_keresztfélév",VLOOKUP(F49,Háttértáblák!$N$2:$O$326,2,0),IF(OR(E49="_2018_2019_ősz",E49="_2019_2020_ősz"),VLOOKUP(F49,Háttértáblák!$S$2:$T$334,2,0),VLOOKUP(F49,Háttértáblák!$U$2:$V$330,2,0)))),"")</f>
        <v/>
      </c>
      <c r="I49" s="97" t="str">
        <f t="shared" si="4"/>
        <v>_</v>
      </c>
      <c r="J49" s="97" t="e">
        <f>IF(#REF!="","",E49&amp;"_"&amp;IF(#REF!=0.5,"fél_év",#REF!))</f>
        <v>#REF!</v>
      </c>
      <c r="K49" s="97" t="str">
        <f>IF(E49="_2019_2020_ősz",VLOOKUP(F49,#REF!,4,0),IF(OR(E49="_2018_2019_ősz",E49="_2018_2019_keresztfélév"),VLOOKUP(F49,#REF!,4,0),IF(E49="_2017_2018_keresztfélév",VLOOKUP(F49,#REF!,4,0),IF(E49="_2017_2018_ősz",VLOOKUP(F49,#REF!,4,0),IF(OR(E49="_2016_2017_ősz",E49="_2016_2017_keresztfélév"),VLOOKUP(F49,#REF!,4,0),"HIBA!")))))</f>
        <v>HIBA!</v>
      </c>
      <c r="L49" s="143" t="e">
        <f>H49&amp;" "&amp;#REF!</f>
        <v>#REF!</v>
      </c>
      <c r="M49" s="136">
        <f>'Támogatás szorzat tényezői'!$C$19*('Támogatás szorzat tényezői'!$C$15/'Támogatás szorzat tényezői'!$C$14)</f>
        <v>240000</v>
      </c>
      <c r="N49" s="98">
        <f t="shared" si="5"/>
        <v>0</v>
      </c>
      <c r="O49" s="120">
        <f t="shared" si="6"/>
        <v>0</v>
      </c>
      <c r="P49" s="140"/>
      <c r="Q49" s="127">
        <f t="shared" si="7"/>
        <v>0</v>
      </c>
      <c r="R49" s="263" t="str">
        <f t="shared" si="8"/>
        <v/>
      </c>
    </row>
    <row r="50" spans="1:18" ht="30" customHeight="1" x14ac:dyDescent="0.25">
      <c r="A50" s="227"/>
      <c r="B50" s="235"/>
      <c r="C50" s="100"/>
      <c r="D50" s="100"/>
      <c r="E50" s="102"/>
      <c r="F50" s="100"/>
      <c r="G50" s="102"/>
      <c r="H50" s="97" t="str">
        <f>IFERROR(IF(E50="_2017_2018_ősz",VLOOKUP(F50,Háttértáblák!$L$2:$M$331,2,0),IF(E50="_2017_2018_keresztfélév",VLOOKUP(F50,Háttértáblák!$N$2:$O$326,2,0),IF(OR(E50="_2018_2019_ősz",E50="_2019_2020_ősz"),VLOOKUP(F50,Háttértáblák!$S$2:$T$334,2,0),VLOOKUP(F50,Háttértáblák!$U$2:$V$330,2,0)))),"")</f>
        <v/>
      </c>
      <c r="I50" s="97" t="str">
        <f t="shared" si="4"/>
        <v>_</v>
      </c>
      <c r="J50" s="97" t="e">
        <f>IF(#REF!="","",E50&amp;"_"&amp;IF(#REF!=0.5,"fél_év",#REF!))</f>
        <v>#REF!</v>
      </c>
      <c r="K50" s="97" t="str">
        <f>IF(E50="_2019_2020_ősz",VLOOKUP(F50,#REF!,4,0),IF(OR(E50="_2018_2019_ősz",E50="_2018_2019_keresztfélév"),VLOOKUP(F50,#REF!,4,0),IF(E50="_2017_2018_keresztfélév",VLOOKUP(F50,#REF!,4,0),IF(E50="_2017_2018_ősz",VLOOKUP(F50,#REF!,4,0),IF(OR(E50="_2016_2017_ősz",E50="_2016_2017_keresztfélév"),VLOOKUP(F50,#REF!,4,0),"HIBA!")))))</f>
        <v>HIBA!</v>
      </c>
      <c r="L50" s="143" t="e">
        <f>H50&amp;" "&amp;#REF!</f>
        <v>#REF!</v>
      </c>
      <c r="M50" s="136">
        <f>'Támogatás szorzat tényezői'!$C$19*('Támogatás szorzat tényezői'!$C$15/'Támogatás szorzat tényezői'!$C$14)</f>
        <v>240000</v>
      </c>
      <c r="N50" s="98">
        <f t="shared" si="5"/>
        <v>0</v>
      </c>
      <c r="O50" s="120">
        <f t="shared" si="6"/>
        <v>0</v>
      </c>
      <c r="P50" s="140"/>
      <c r="Q50" s="127">
        <f t="shared" si="7"/>
        <v>0</v>
      </c>
      <c r="R50" s="263" t="str">
        <f t="shared" si="8"/>
        <v/>
      </c>
    </row>
    <row r="51" spans="1:18" ht="30" customHeight="1" x14ac:dyDescent="0.25">
      <c r="A51" s="227"/>
      <c r="B51" s="235"/>
      <c r="C51" s="100"/>
      <c r="D51" s="100"/>
      <c r="E51" s="102"/>
      <c r="F51" s="100"/>
      <c r="G51" s="102"/>
      <c r="H51" s="97" t="str">
        <f>IFERROR(IF(E51="_2017_2018_ősz",VLOOKUP(F51,Háttértáblák!$L$2:$M$331,2,0),IF(E51="_2017_2018_keresztfélév",VLOOKUP(F51,Háttértáblák!$N$2:$O$326,2,0),IF(OR(E51="_2018_2019_ősz",E51="_2019_2020_ősz"),VLOOKUP(F51,Háttértáblák!$S$2:$T$334,2,0),VLOOKUP(F51,Háttértáblák!$U$2:$V$330,2,0)))),"")</f>
        <v/>
      </c>
      <c r="I51" s="97" t="str">
        <f t="shared" si="4"/>
        <v>_</v>
      </c>
      <c r="J51" s="97" t="e">
        <f>IF(#REF!="","",E51&amp;"_"&amp;IF(#REF!=0.5,"fél_év",#REF!))</f>
        <v>#REF!</v>
      </c>
      <c r="K51" s="97" t="str">
        <f>IF(E51="_2019_2020_ősz",VLOOKUP(F51,#REF!,4,0),IF(OR(E51="_2018_2019_ősz",E51="_2018_2019_keresztfélév"),VLOOKUP(F51,#REF!,4,0),IF(E51="_2017_2018_keresztfélév",VLOOKUP(F51,#REF!,4,0),IF(E51="_2017_2018_ősz",VLOOKUP(F51,#REF!,4,0),IF(OR(E51="_2016_2017_ősz",E51="_2016_2017_keresztfélév"),VLOOKUP(F51,#REF!,4,0),"HIBA!")))))</f>
        <v>HIBA!</v>
      </c>
      <c r="L51" s="143" t="e">
        <f>H51&amp;" "&amp;#REF!</f>
        <v>#REF!</v>
      </c>
      <c r="M51" s="136">
        <f>'Támogatás szorzat tényezői'!$C$19*('Támogatás szorzat tényezői'!$C$15/'Támogatás szorzat tényezői'!$C$14)</f>
        <v>240000</v>
      </c>
      <c r="N51" s="98">
        <f t="shared" si="5"/>
        <v>0</v>
      </c>
      <c r="O51" s="120">
        <f t="shared" si="6"/>
        <v>0</v>
      </c>
      <c r="P51" s="140"/>
      <c r="Q51" s="127">
        <f t="shared" si="7"/>
        <v>0</v>
      </c>
      <c r="R51" s="263" t="str">
        <f t="shared" si="8"/>
        <v/>
      </c>
    </row>
    <row r="52" spans="1:18" ht="30" customHeight="1" x14ac:dyDescent="0.25">
      <c r="A52" s="227"/>
      <c r="B52" s="235"/>
      <c r="C52" s="100"/>
      <c r="D52" s="100"/>
      <c r="E52" s="102"/>
      <c r="F52" s="100"/>
      <c r="G52" s="102"/>
      <c r="H52" s="97" t="str">
        <f>IFERROR(IF(E52="_2017_2018_ősz",VLOOKUP(F52,Háttértáblák!$L$2:$M$331,2,0),IF(E52="_2017_2018_keresztfélév",VLOOKUP(F52,Háttértáblák!$N$2:$O$326,2,0),IF(OR(E52="_2018_2019_ősz",E52="_2019_2020_ősz"),VLOOKUP(F52,Háttértáblák!$S$2:$T$334,2,0),VLOOKUP(F52,Háttértáblák!$U$2:$V$330,2,0)))),"")</f>
        <v/>
      </c>
      <c r="I52" s="97" t="str">
        <f t="shared" si="4"/>
        <v>_</v>
      </c>
      <c r="J52" s="97" t="e">
        <f>IF(#REF!="","",E52&amp;"_"&amp;IF(#REF!=0.5,"fél_év",#REF!))</f>
        <v>#REF!</v>
      </c>
      <c r="K52" s="97" t="str">
        <f>IF(E52="_2019_2020_ősz",VLOOKUP(F52,#REF!,4,0),IF(OR(E52="_2018_2019_ősz",E52="_2018_2019_keresztfélév"),VLOOKUP(F52,#REF!,4,0),IF(E52="_2017_2018_keresztfélév",VLOOKUP(F52,#REF!,4,0),IF(E52="_2017_2018_ősz",VLOOKUP(F52,#REF!,4,0),IF(OR(E52="_2016_2017_ősz",E52="_2016_2017_keresztfélév"),VLOOKUP(F52,#REF!,4,0),"HIBA!")))))</f>
        <v>HIBA!</v>
      </c>
      <c r="L52" s="143" t="e">
        <f>H52&amp;" "&amp;#REF!</f>
        <v>#REF!</v>
      </c>
      <c r="M52" s="136">
        <f>'Támogatás szorzat tényezői'!$C$19*('Támogatás szorzat tényezői'!$C$15/'Támogatás szorzat tényezői'!$C$14)</f>
        <v>240000</v>
      </c>
      <c r="N52" s="98">
        <f t="shared" si="5"/>
        <v>0</v>
      </c>
      <c r="O52" s="120">
        <f t="shared" si="6"/>
        <v>0</v>
      </c>
      <c r="P52" s="140"/>
      <c r="Q52" s="127">
        <f t="shared" si="7"/>
        <v>0</v>
      </c>
      <c r="R52" s="263" t="str">
        <f t="shared" si="8"/>
        <v/>
      </c>
    </row>
    <row r="53" spans="1:18" ht="30" customHeight="1" x14ac:dyDescent="0.25">
      <c r="A53" s="227"/>
      <c r="B53" s="235"/>
      <c r="C53" s="100"/>
      <c r="D53" s="100"/>
      <c r="E53" s="102"/>
      <c r="F53" s="100"/>
      <c r="G53" s="102"/>
      <c r="H53" s="97" t="str">
        <f>IFERROR(IF(E53="_2017_2018_ősz",VLOOKUP(F53,Háttértáblák!$L$2:$M$331,2,0),IF(E53="_2017_2018_keresztfélév",VLOOKUP(F53,Háttértáblák!$N$2:$O$326,2,0),IF(OR(E53="_2018_2019_ősz",E53="_2019_2020_ősz"),VLOOKUP(F53,Háttértáblák!$S$2:$T$334,2,0),VLOOKUP(F53,Háttértáblák!$U$2:$V$330,2,0)))),"")</f>
        <v/>
      </c>
      <c r="I53" s="97" t="str">
        <f t="shared" si="4"/>
        <v>_</v>
      </c>
      <c r="J53" s="97" t="e">
        <f>IF(#REF!="","",E53&amp;"_"&amp;IF(#REF!=0.5,"fél_év",#REF!))</f>
        <v>#REF!</v>
      </c>
      <c r="K53" s="97" t="str">
        <f>IF(E53="_2019_2020_ősz",VLOOKUP(F53,#REF!,4,0),IF(OR(E53="_2018_2019_ősz",E53="_2018_2019_keresztfélév"),VLOOKUP(F53,#REF!,4,0),IF(E53="_2017_2018_keresztfélév",VLOOKUP(F53,#REF!,4,0),IF(E53="_2017_2018_ősz",VLOOKUP(F53,#REF!,4,0),IF(OR(E53="_2016_2017_ősz",E53="_2016_2017_keresztfélév"),VLOOKUP(F53,#REF!,4,0),"HIBA!")))))</f>
        <v>HIBA!</v>
      </c>
      <c r="L53" s="143" t="e">
        <f>H53&amp;" "&amp;#REF!</f>
        <v>#REF!</v>
      </c>
      <c r="M53" s="136">
        <f>'Támogatás szorzat tényezői'!$C$19*('Támogatás szorzat tényezői'!$C$15/'Támogatás szorzat tényezői'!$C$14)</f>
        <v>240000</v>
      </c>
      <c r="N53" s="98">
        <f t="shared" si="5"/>
        <v>0</v>
      </c>
      <c r="O53" s="120">
        <f t="shared" si="6"/>
        <v>0</v>
      </c>
      <c r="P53" s="140"/>
      <c r="Q53" s="127">
        <f t="shared" si="7"/>
        <v>0</v>
      </c>
      <c r="R53" s="263" t="str">
        <f t="shared" si="8"/>
        <v/>
      </c>
    </row>
    <row r="54" spans="1:18" ht="30" customHeight="1" x14ac:dyDescent="0.25">
      <c r="A54" s="227"/>
      <c r="B54" s="235"/>
      <c r="C54" s="100"/>
      <c r="D54" s="100"/>
      <c r="E54" s="102"/>
      <c r="F54" s="100"/>
      <c r="G54" s="102"/>
      <c r="H54" s="97" t="str">
        <f>IFERROR(IF(E54="_2017_2018_ősz",VLOOKUP(F54,Háttértáblák!$L$2:$M$331,2,0),IF(E54="_2017_2018_keresztfélév",VLOOKUP(F54,Háttértáblák!$N$2:$O$326,2,0),IF(OR(E54="_2018_2019_ősz",E54="_2019_2020_ősz"),VLOOKUP(F54,Háttértáblák!$S$2:$T$334,2,0),VLOOKUP(F54,Háttértáblák!$U$2:$V$330,2,0)))),"")</f>
        <v/>
      </c>
      <c r="I54" s="97" t="str">
        <f t="shared" si="4"/>
        <v>_</v>
      </c>
      <c r="J54" s="97" t="e">
        <f>IF(#REF!="","",E54&amp;"_"&amp;IF(#REF!=0.5,"fél_év",#REF!))</f>
        <v>#REF!</v>
      </c>
      <c r="K54" s="97" t="str">
        <f>IF(E54="_2019_2020_ősz",VLOOKUP(F54,#REF!,4,0),IF(OR(E54="_2018_2019_ősz",E54="_2018_2019_keresztfélév"),VLOOKUP(F54,#REF!,4,0),IF(E54="_2017_2018_keresztfélév",VLOOKUP(F54,#REF!,4,0),IF(E54="_2017_2018_ősz",VLOOKUP(F54,#REF!,4,0),IF(OR(E54="_2016_2017_ősz",E54="_2016_2017_keresztfélév"),VLOOKUP(F54,#REF!,4,0),"HIBA!")))))</f>
        <v>HIBA!</v>
      </c>
      <c r="L54" s="143" t="e">
        <f>H54&amp;" "&amp;#REF!</f>
        <v>#REF!</v>
      </c>
      <c r="M54" s="136">
        <f>'Támogatás szorzat tényezői'!$C$19*('Támogatás szorzat tényezői'!$C$15/'Támogatás szorzat tényezői'!$C$14)</f>
        <v>240000</v>
      </c>
      <c r="N54" s="98">
        <f t="shared" si="5"/>
        <v>0</v>
      </c>
      <c r="O54" s="120">
        <f t="shared" si="6"/>
        <v>0</v>
      </c>
      <c r="P54" s="140"/>
      <c r="Q54" s="127">
        <f t="shared" si="7"/>
        <v>0</v>
      </c>
      <c r="R54" s="263" t="str">
        <f t="shared" si="8"/>
        <v/>
      </c>
    </row>
    <row r="55" spans="1:18" ht="30" customHeight="1" x14ac:dyDescent="0.25">
      <c r="A55" s="227"/>
      <c r="B55" s="235"/>
      <c r="C55" s="100"/>
      <c r="D55" s="100"/>
      <c r="E55" s="102"/>
      <c r="F55" s="100"/>
      <c r="G55" s="102"/>
      <c r="H55" s="97" t="str">
        <f>IFERROR(IF(E55="_2017_2018_ősz",VLOOKUP(F55,Háttértáblák!$L$2:$M$331,2,0),IF(E55="_2017_2018_keresztfélév",VLOOKUP(F55,Háttértáblák!$N$2:$O$326,2,0),IF(OR(E55="_2018_2019_ősz",E55="_2019_2020_ősz"),VLOOKUP(F55,Háttértáblák!$S$2:$T$334,2,0),VLOOKUP(F55,Háttértáblák!$U$2:$V$330,2,0)))),"")</f>
        <v/>
      </c>
      <c r="I55" s="97" t="str">
        <f t="shared" si="4"/>
        <v>_</v>
      </c>
      <c r="J55" s="97" t="e">
        <f>IF(#REF!="","",E55&amp;"_"&amp;IF(#REF!=0.5,"fél_év",#REF!))</f>
        <v>#REF!</v>
      </c>
      <c r="K55" s="97" t="str">
        <f>IF(E55="_2019_2020_ősz",VLOOKUP(F55,#REF!,4,0),IF(OR(E55="_2018_2019_ősz",E55="_2018_2019_keresztfélév"),VLOOKUP(F55,#REF!,4,0),IF(E55="_2017_2018_keresztfélév",VLOOKUP(F55,#REF!,4,0),IF(E55="_2017_2018_ősz",VLOOKUP(F55,#REF!,4,0),IF(OR(E55="_2016_2017_ősz",E55="_2016_2017_keresztfélév"),VLOOKUP(F55,#REF!,4,0),"HIBA!")))))</f>
        <v>HIBA!</v>
      </c>
      <c r="L55" s="143" t="e">
        <f>H55&amp;" "&amp;#REF!</f>
        <v>#REF!</v>
      </c>
      <c r="M55" s="136">
        <f>'Támogatás szorzat tényezői'!$C$19*('Támogatás szorzat tényezői'!$C$15/'Támogatás szorzat tényezői'!$C$14)</f>
        <v>240000</v>
      </c>
      <c r="N55" s="98">
        <f t="shared" si="5"/>
        <v>0</v>
      </c>
      <c r="O55" s="120">
        <f t="shared" si="6"/>
        <v>0</v>
      </c>
      <c r="P55" s="140"/>
      <c r="Q55" s="127">
        <f t="shared" si="7"/>
        <v>0</v>
      </c>
      <c r="R55" s="263" t="str">
        <f t="shared" si="8"/>
        <v/>
      </c>
    </row>
    <row r="56" spans="1:18" ht="30" customHeight="1" x14ac:dyDescent="0.25">
      <c r="A56" s="227"/>
      <c r="B56" s="235"/>
      <c r="C56" s="100"/>
      <c r="D56" s="100"/>
      <c r="E56" s="102"/>
      <c r="F56" s="100"/>
      <c r="G56" s="102"/>
      <c r="H56" s="97" t="str">
        <f>IFERROR(IF(E56="_2017_2018_ősz",VLOOKUP(F56,Háttértáblák!$L$2:$M$331,2,0),IF(E56="_2017_2018_keresztfélév",VLOOKUP(F56,Háttértáblák!$N$2:$O$326,2,0),IF(OR(E56="_2018_2019_ősz",E56="_2019_2020_ősz"),VLOOKUP(F56,Háttértáblák!$S$2:$T$334,2,0),VLOOKUP(F56,Háttértáblák!$U$2:$V$330,2,0)))),"")</f>
        <v/>
      </c>
      <c r="I56" s="97" t="str">
        <f t="shared" si="4"/>
        <v>_</v>
      </c>
      <c r="J56" s="97" t="e">
        <f>IF(#REF!="","",E56&amp;"_"&amp;IF(#REF!=0.5,"fél_év",#REF!))</f>
        <v>#REF!</v>
      </c>
      <c r="K56" s="97" t="str">
        <f>IF(E56="_2019_2020_ősz",VLOOKUP(F56,#REF!,4,0),IF(OR(E56="_2018_2019_ősz",E56="_2018_2019_keresztfélév"),VLOOKUP(F56,#REF!,4,0),IF(E56="_2017_2018_keresztfélév",VLOOKUP(F56,#REF!,4,0),IF(E56="_2017_2018_ősz",VLOOKUP(F56,#REF!,4,0),IF(OR(E56="_2016_2017_ősz",E56="_2016_2017_keresztfélév"),VLOOKUP(F56,#REF!,4,0),"HIBA!")))))</f>
        <v>HIBA!</v>
      </c>
      <c r="L56" s="143" t="e">
        <f>H56&amp;" "&amp;#REF!</f>
        <v>#REF!</v>
      </c>
      <c r="M56" s="136">
        <f>'Támogatás szorzat tényezői'!$C$19*('Támogatás szorzat tényezői'!$C$15/'Támogatás szorzat tényezői'!$C$14)</f>
        <v>240000</v>
      </c>
      <c r="N56" s="98">
        <f t="shared" si="5"/>
        <v>0</v>
      </c>
      <c r="O56" s="120">
        <f t="shared" si="6"/>
        <v>0</v>
      </c>
      <c r="P56" s="140"/>
      <c r="Q56" s="127">
        <f t="shared" si="7"/>
        <v>0</v>
      </c>
      <c r="R56" s="263" t="str">
        <f t="shared" si="8"/>
        <v/>
      </c>
    </row>
    <row r="57" spans="1:18" ht="30" customHeight="1" x14ac:dyDescent="0.25">
      <c r="A57" s="227"/>
      <c r="B57" s="235"/>
      <c r="C57" s="100"/>
      <c r="D57" s="100"/>
      <c r="E57" s="102"/>
      <c r="F57" s="100"/>
      <c r="G57" s="102"/>
      <c r="H57" s="97" t="str">
        <f>IFERROR(IF(E57="_2017_2018_ősz",VLOOKUP(F57,Háttértáblák!$L$2:$M$331,2,0),IF(E57="_2017_2018_keresztfélév",VLOOKUP(F57,Háttértáblák!$N$2:$O$326,2,0),IF(OR(E57="_2018_2019_ősz",E57="_2019_2020_ősz"),VLOOKUP(F57,Háttértáblák!$S$2:$T$334,2,0),VLOOKUP(F57,Háttértáblák!$U$2:$V$330,2,0)))),"")</f>
        <v/>
      </c>
      <c r="I57" s="97" t="str">
        <f t="shared" si="4"/>
        <v>_</v>
      </c>
      <c r="J57" s="97" t="e">
        <f>IF(#REF!="","",E57&amp;"_"&amp;IF(#REF!=0.5,"fél_év",#REF!))</f>
        <v>#REF!</v>
      </c>
      <c r="K57" s="97" t="str">
        <f>IF(E57="_2019_2020_ősz",VLOOKUP(F57,#REF!,4,0),IF(OR(E57="_2018_2019_ősz",E57="_2018_2019_keresztfélév"),VLOOKUP(F57,#REF!,4,0),IF(E57="_2017_2018_keresztfélév",VLOOKUP(F57,#REF!,4,0),IF(E57="_2017_2018_ősz",VLOOKUP(F57,#REF!,4,0),IF(OR(E57="_2016_2017_ősz",E57="_2016_2017_keresztfélév"),VLOOKUP(F57,#REF!,4,0),"HIBA!")))))</f>
        <v>HIBA!</v>
      </c>
      <c r="L57" s="143" t="e">
        <f>H57&amp;" "&amp;#REF!</f>
        <v>#REF!</v>
      </c>
      <c r="M57" s="136">
        <f>'Támogatás szorzat tényezői'!$C$19*('Támogatás szorzat tényezői'!$C$15/'Támogatás szorzat tényezői'!$C$14)</f>
        <v>240000</v>
      </c>
      <c r="N57" s="98">
        <f t="shared" si="5"/>
        <v>0</v>
      </c>
      <c r="O57" s="120">
        <f t="shared" si="6"/>
        <v>0</v>
      </c>
      <c r="P57" s="140"/>
      <c r="Q57" s="127">
        <f t="shared" si="7"/>
        <v>0</v>
      </c>
      <c r="R57" s="263" t="str">
        <f t="shared" si="8"/>
        <v/>
      </c>
    </row>
    <row r="58" spans="1:18" ht="30" customHeight="1" x14ac:dyDescent="0.25">
      <c r="A58" s="227"/>
      <c r="B58" s="235"/>
      <c r="C58" s="100"/>
      <c r="D58" s="100"/>
      <c r="E58" s="102"/>
      <c r="F58" s="100"/>
      <c r="G58" s="102"/>
      <c r="H58" s="97" t="str">
        <f>IFERROR(IF(E58="_2017_2018_ősz",VLOOKUP(F58,Háttértáblák!$L$2:$M$331,2,0),IF(E58="_2017_2018_keresztfélév",VLOOKUP(F58,Háttértáblák!$N$2:$O$326,2,0),IF(OR(E58="_2018_2019_ősz",E58="_2019_2020_ősz"),VLOOKUP(F58,Háttértáblák!$S$2:$T$334,2,0),VLOOKUP(F58,Háttértáblák!$U$2:$V$330,2,0)))),"")</f>
        <v/>
      </c>
      <c r="I58" s="97" t="str">
        <f t="shared" si="4"/>
        <v>_</v>
      </c>
      <c r="J58" s="97" t="e">
        <f>IF(#REF!="","",E58&amp;"_"&amp;IF(#REF!=0.5,"fél_év",#REF!))</f>
        <v>#REF!</v>
      </c>
      <c r="K58" s="97" t="str">
        <f>IF(E58="_2019_2020_ősz",VLOOKUP(F58,#REF!,4,0),IF(OR(E58="_2018_2019_ősz",E58="_2018_2019_keresztfélév"),VLOOKUP(F58,#REF!,4,0),IF(E58="_2017_2018_keresztfélév",VLOOKUP(F58,#REF!,4,0),IF(E58="_2017_2018_ősz",VLOOKUP(F58,#REF!,4,0),IF(OR(E58="_2016_2017_ősz",E58="_2016_2017_keresztfélév"),VLOOKUP(F58,#REF!,4,0),"HIBA!")))))</f>
        <v>HIBA!</v>
      </c>
      <c r="L58" s="143" t="e">
        <f>H58&amp;" "&amp;#REF!</f>
        <v>#REF!</v>
      </c>
      <c r="M58" s="136">
        <f>'Támogatás szorzat tényezői'!$C$19*('Támogatás szorzat tényezői'!$C$15/'Támogatás szorzat tényezői'!$C$14)</f>
        <v>240000</v>
      </c>
      <c r="N58" s="98">
        <f t="shared" si="5"/>
        <v>0</v>
      </c>
      <c r="O58" s="120">
        <f t="shared" si="6"/>
        <v>0</v>
      </c>
      <c r="P58" s="140"/>
      <c r="Q58" s="127">
        <f t="shared" si="7"/>
        <v>0</v>
      </c>
      <c r="R58" s="263" t="str">
        <f t="shared" si="8"/>
        <v/>
      </c>
    </row>
    <row r="59" spans="1:18" ht="30" customHeight="1" x14ac:dyDescent="0.25">
      <c r="A59" s="227"/>
      <c r="B59" s="235"/>
      <c r="C59" s="100"/>
      <c r="D59" s="100"/>
      <c r="E59" s="102"/>
      <c r="F59" s="100"/>
      <c r="G59" s="102"/>
      <c r="H59" s="97" t="str">
        <f>IFERROR(IF(E59="_2017_2018_ősz",VLOOKUP(F59,Háttértáblák!$L$2:$M$331,2,0),IF(E59="_2017_2018_keresztfélév",VLOOKUP(F59,Háttértáblák!$N$2:$O$326,2,0),IF(OR(E59="_2018_2019_ősz",E59="_2019_2020_ősz"),VLOOKUP(F59,Háttértáblák!$S$2:$T$334,2,0),VLOOKUP(F59,Háttértáblák!$U$2:$V$330,2,0)))),"")</f>
        <v/>
      </c>
      <c r="I59" s="97" t="str">
        <f t="shared" si="4"/>
        <v>_</v>
      </c>
      <c r="J59" s="97" t="e">
        <f>IF(#REF!="","",E59&amp;"_"&amp;IF(#REF!=0.5,"fél_év",#REF!))</f>
        <v>#REF!</v>
      </c>
      <c r="K59" s="97" t="str">
        <f>IF(E59="_2019_2020_ősz",VLOOKUP(F59,#REF!,4,0),IF(OR(E59="_2018_2019_ősz",E59="_2018_2019_keresztfélév"),VLOOKUP(F59,#REF!,4,0),IF(E59="_2017_2018_keresztfélév",VLOOKUP(F59,#REF!,4,0),IF(E59="_2017_2018_ősz",VLOOKUP(F59,#REF!,4,0),IF(OR(E59="_2016_2017_ősz",E59="_2016_2017_keresztfélév"),VLOOKUP(F59,#REF!,4,0),"HIBA!")))))</f>
        <v>HIBA!</v>
      </c>
      <c r="L59" s="143" t="e">
        <f>H59&amp;" "&amp;#REF!</f>
        <v>#REF!</v>
      </c>
      <c r="M59" s="136">
        <f>'Támogatás szorzat tényezői'!$C$19*('Támogatás szorzat tényezői'!$C$15/'Támogatás szorzat tényezői'!$C$14)</f>
        <v>240000</v>
      </c>
      <c r="N59" s="98">
        <f t="shared" si="5"/>
        <v>0</v>
      </c>
      <c r="O59" s="120">
        <f t="shared" si="6"/>
        <v>0</v>
      </c>
      <c r="P59" s="140"/>
      <c r="Q59" s="127">
        <f t="shared" si="7"/>
        <v>0</v>
      </c>
      <c r="R59" s="263" t="str">
        <f t="shared" si="8"/>
        <v/>
      </c>
    </row>
    <row r="60" spans="1:18" ht="30" customHeight="1" x14ac:dyDescent="0.25">
      <c r="A60" s="227"/>
      <c r="B60" s="235"/>
      <c r="C60" s="100"/>
      <c r="D60" s="100"/>
      <c r="E60" s="102"/>
      <c r="F60" s="100"/>
      <c r="G60" s="102"/>
      <c r="H60" s="97" t="str">
        <f>IFERROR(IF(E60="_2017_2018_ősz",VLOOKUP(F60,Háttértáblák!$L$2:$M$331,2,0),IF(E60="_2017_2018_keresztfélév",VLOOKUP(F60,Háttértáblák!$N$2:$O$326,2,0),IF(OR(E60="_2018_2019_ősz",E60="_2019_2020_ősz"),VLOOKUP(F60,Háttértáblák!$S$2:$T$334,2,0),VLOOKUP(F60,Háttértáblák!$U$2:$V$330,2,0)))),"")</f>
        <v/>
      </c>
      <c r="I60" s="97" t="str">
        <f t="shared" si="4"/>
        <v>_</v>
      </c>
      <c r="J60" s="97" t="e">
        <f>IF(#REF!="","",E60&amp;"_"&amp;IF(#REF!=0.5,"fél_év",#REF!))</f>
        <v>#REF!</v>
      </c>
      <c r="K60" s="97" t="str">
        <f>IF(E60="_2019_2020_ősz",VLOOKUP(F60,#REF!,4,0),IF(OR(E60="_2018_2019_ősz",E60="_2018_2019_keresztfélév"),VLOOKUP(F60,#REF!,4,0),IF(E60="_2017_2018_keresztfélév",VLOOKUP(F60,#REF!,4,0),IF(E60="_2017_2018_ősz",VLOOKUP(F60,#REF!,4,0),IF(OR(E60="_2016_2017_ősz",E60="_2016_2017_keresztfélév"),VLOOKUP(F60,#REF!,4,0),"HIBA!")))))</f>
        <v>HIBA!</v>
      </c>
      <c r="L60" s="143" t="e">
        <f>H60&amp;" "&amp;#REF!</f>
        <v>#REF!</v>
      </c>
      <c r="M60" s="136">
        <f>'Támogatás szorzat tényezői'!$C$19*('Támogatás szorzat tényezői'!$C$15/'Támogatás szorzat tényezői'!$C$14)</f>
        <v>240000</v>
      </c>
      <c r="N60" s="98">
        <f t="shared" si="5"/>
        <v>0</v>
      </c>
      <c r="O60" s="120">
        <f t="shared" si="6"/>
        <v>0</v>
      </c>
      <c r="P60" s="140"/>
      <c r="Q60" s="127">
        <f t="shared" si="7"/>
        <v>0</v>
      </c>
      <c r="R60" s="263" t="str">
        <f t="shared" si="8"/>
        <v/>
      </c>
    </row>
    <row r="61" spans="1:18" ht="30" customHeight="1" x14ac:dyDescent="0.25">
      <c r="A61" s="227"/>
      <c r="B61" s="235"/>
      <c r="C61" s="100"/>
      <c r="D61" s="100"/>
      <c r="E61" s="102"/>
      <c r="F61" s="100"/>
      <c r="G61" s="102"/>
      <c r="H61" s="97" t="str">
        <f>IFERROR(IF(E61="_2017_2018_ősz",VLOOKUP(F61,Háttértáblák!$L$2:$M$331,2,0),IF(E61="_2017_2018_keresztfélév",VLOOKUP(F61,Háttértáblák!$N$2:$O$326,2,0),IF(OR(E61="_2018_2019_ősz",E61="_2019_2020_ősz"),VLOOKUP(F61,Háttértáblák!$S$2:$T$334,2,0),VLOOKUP(F61,Háttértáblák!$U$2:$V$330,2,0)))),"")</f>
        <v/>
      </c>
      <c r="I61" s="97" t="str">
        <f t="shared" si="4"/>
        <v>_</v>
      </c>
      <c r="J61" s="97" t="e">
        <f>IF(#REF!="","",E61&amp;"_"&amp;IF(#REF!=0.5,"fél_év",#REF!))</f>
        <v>#REF!</v>
      </c>
      <c r="K61" s="97" t="str">
        <f>IF(E61="_2019_2020_ősz",VLOOKUP(F61,#REF!,4,0),IF(OR(E61="_2018_2019_ősz",E61="_2018_2019_keresztfélév"),VLOOKUP(F61,#REF!,4,0),IF(E61="_2017_2018_keresztfélév",VLOOKUP(F61,#REF!,4,0),IF(E61="_2017_2018_ősz",VLOOKUP(F61,#REF!,4,0),IF(OR(E61="_2016_2017_ősz",E61="_2016_2017_keresztfélév"),VLOOKUP(F61,#REF!,4,0),"HIBA!")))))</f>
        <v>HIBA!</v>
      </c>
      <c r="L61" s="143" t="e">
        <f>H61&amp;" "&amp;#REF!</f>
        <v>#REF!</v>
      </c>
      <c r="M61" s="136">
        <f>'Támogatás szorzat tényezői'!$C$19*('Támogatás szorzat tényezői'!$C$15/'Támogatás szorzat tényezői'!$C$14)</f>
        <v>240000</v>
      </c>
      <c r="N61" s="98">
        <f t="shared" si="5"/>
        <v>0</v>
      </c>
      <c r="O61" s="120">
        <f t="shared" si="6"/>
        <v>0</v>
      </c>
      <c r="P61" s="140"/>
      <c r="Q61" s="127">
        <f t="shared" si="7"/>
        <v>0</v>
      </c>
      <c r="R61" s="263" t="str">
        <f t="shared" si="8"/>
        <v/>
      </c>
    </row>
    <row r="62" spans="1:18" ht="30" customHeight="1" x14ac:dyDescent="0.25">
      <c r="A62" s="227"/>
      <c r="B62" s="235"/>
      <c r="C62" s="100"/>
      <c r="D62" s="100"/>
      <c r="E62" s="102"/>
      <c r="F62" s="100"/>
      <c r="G62" s="102"/>
      <c r="H62" s="97" t="str">
        <f>IFERROR(IF(E62="_2017_2018_ősz",VLOOKUP(F62,Háttértáblák!$L$2:$M$331,2,0),IF(E62="_2017_2018_keresztfélév",VLOOKUP(F62,Háttértáblák!$N$2:$O$326,2,0),IF(OR(E62="_2018_2019_ősz",E62="_2019_2020_ősz"),VLOOKUP(F62,Háttértáblák!$S$2:$T$334,2,0),VLOOKUP(F62,Háttértáblák!$U$2:$V$330,2,0)))),"")</f>
        <v/>
      </c>
      <c r="I62" s="97" t="str">
        <f t="shared" si="4"/>
        <v>_</v>
      </c>
      <c r="J62" s="97" t="e">
        <f>IF(#REF!="","",E62&amp;"_"&amp;IF(#REF!=0.5,"fél_év",#REF!))</f>
        <v>#REF!</v>
      </c>
      <c r="K62" s="97" t="str">
        <f>IF(E62="_2019_2020_ősz",VLOOKUP(F62,#REF!,4,0),IF(OR(E62="_2018_2019_ősz",E62="_2018_2019_keresztfélév"),VLOOKUP(F62,#REF!,4,0),IF(E62="_2017_2018_keresztfélév",VLOOKUP(F62,#REF!,4,0),IF(E62="_2017_2018_ősz",VLOOKUP(F62,#REF!,4,0),IF(OR(E62="_2016_2017_ősz",E62="_2016_2017_keresztfélév"),VLOOKUP(F62,#REF!,4,0),"HIBA!")))))</f>
        <v>HIBA!</v>
      </c>
      <c r="L62" s="143" t="e">
        <f>H62&amp;" "&amp;#REF!</f>
        <v>#REF!</v>
      </c>
      <c r="M62" s="136">
        <f>'Támogatás szorzat tényezői'!$C$19*('Támogatás szorzat tényezői'!$C$15/'Támogatás szorzat tényezői'!$C$14)</f>
        <v>240000</v>
      </c>
      <c r="N62" s="98">
        <f t="shared" si="5"/>
        <v>0</v>
      </c>
      <c r="O62" s="120">
        <f t="shared" si="6"/>
        <v>0</v>
      </c>
      <c r="P62" s="140"/>
      <c r="Q62" s="127">
        <f t="shared" si="7"/>
        <v>0</v>
      </c>
      <c r="R62" s="263" t="str">
        <f t="shared" si="8"/>
        <v/>
      </c>
    </row>
    <row r="63" spans="1:18" ht="30" customHeight="1" x14ac:dyDescent="0.25">
      <c r="A63" s="227"/>
      <c r="B63" s="235"/>
      <c r="C63" s="100"/>
      <c r="D63" s="100"/>
      <c r="E63" s="102"/>
      <c r="F63" s="100"/>
      <c r="G63" s="102"/>
      <c r="H63" s="97" t="str">
        <f>IFERROR(IF(E63="_2017_2018_ősz",VLOOKUP(F63,Háttértáblák!$L$2:$M$331,2,0),IF(E63="_2017_2018_keresztfélév",VLOOKUP(F63,Háttértáblák!$N$2:$O$326,2,0),IF(OR(E63="_2018_2019_ősz",E63="_2019_2020_ősz"),VLOOKUP(F63,Háttértáblák!$S$2:$T$334,2,0),VLOOKUP(F63,Háttértáblák!$U$2:$V$330,2,0)))),"")</f>
        <v/>
      </c>
      <c r="I63" s="97" t="str">
        <f t="shared" si="4"/>
        <v>_</v>
      </c>
      <c r="J63" s="97" t="e">
        <f>IF(#REF!="","",E63&amp;"_"&amp;IF(#REF!=0.5,"fél_év",#REF!))</f>
        <v>#REF!</v>
      </c>
      <c r="K63" s="97" t="str">
        <f>IF(E63="_2019_2020_ősz",VLOOKUP(F63,#REF!,4,0),IF(OR(E63="_2018_2019_ősz",E63="_2018_2019_keresztfélév"),VLOOKUP(F63,#REF!,4,0),IF(E63="_2017_2018_keresztfélév",VLOOKUP(F63,#REF!,4,0),IF(E63="_2017_2018_ősz",VLOOKUP(F63,#REF!,4,0),IF(OR(E63="_2016_2017_ősz",E63="_2016_2017_keresztfélév"),VLOOKUP(F63,#REF!,4,0),"HIBA!")))))</f>
        <v>HIBA!</v>
      </c>
      <c r="L63" s="143" t="e">
        <f>H63&amp;" "&amp;#REF!</f>
        <v>#REF!</v>
      </c>
      <c r="M63" s="136">
        <f>'Támogatás szorzat tényezői'!$C$19*('Támogatás szorzat tényezői'!$C$15/'Támogatás szorzat tényezői'!$C$14)</f>
        <v>240000</v>
      </c>
      <c r="N63" s="98">
        <f t="shared" si="5"/>
        <v>0</v>
      </c>
      <c r="O63" s="120">
        <f t="shared" si="6"/>
        <v>0</v>
      </c>
      <c r="P63" s="140"/>
      <c r="Q63" s="127">
        <f t="shared" si="7"/>
        <v>0</v>
      </c>
      <c r="R63" s="263" t="str">
        <f t="shared" si="8"/>
        <v/>
      </c>
    </row>
    <row r="64" spans="1:18" ht="30" customHeight="1" x14ac:dyDescent="0.25">
      <c r="A64" s="227"/>
      <c r="B64" s="235"/>
      <c r="C64" s="100"/>
      <c r="D64" s="100"/>
      <c r="E64" s="102"/>
      <c r="F64" s="100"/>
      <c r="G64" s="102"/>
      <c r="H64" s="97" t="str">
        <f>IFERROR(IF(E64="_2017_2018_ősz",VLOOKUP(F64,Háttértáblák!$L$2:$M$331,2,0),IF(E64="_2017_2018_keresztfélév",VLOOKUP(F64,Háttértáblák!$N$2:$O$326,2,0),IF(OR(E64="_2018_2019_ősz",E64="_2019_2020_ősz"),VLOOKUP(F64,Háttértáblák!$S$2:$T$334,2,0),VLOOKUP(F64,Háttértáblák!$U$2:$V$330,2,0)))),"")</f>
        <v/>
      </c>
      <c r="I64" s="97" t="str">
        <f t="shared" si="4"/>
        <v>_</v>
      </c>
      <c r="J64" s="97" t="e">
        <f>IF(#REF!="","",E64&amp;"_"&amp;IF(#REF!=0.5,"fél_év",#REF!))</f>
        <v>#REF!</v>
      </c>
      <c r="K64" s="97" t="str">
        <f>IF(E64="_2019_2020_ősz",VLOOKUP(F64,#REF!,4,0),IF(OR(E64="_2018_2019_ősz",E64="_2018_2019_keresztfélév"),VLOOKUP(F64,#REF!,4,0),IF(E64="_2017_2018_keresztfélév",VLOOKUP(F64,#REF!,4,0),IF(E64="_2017_2018_ősz",VLOOKUP(F64,#REF!,4,0),IF(OR(E64="_2016_2017_ősz",E64="_2016_2017_keresztfélév"),VLOOKUP(F64,#REF!,4,0),"HIBA!")))))</f>
        <v>HIBA!</v>
      </c>
      <c r="L64" s="143" t="e">
        <f>H64&amp;" "&amp;#REF!</f>
        <v>#REF!</v>
      </c>
      <c r="M64" s="136">
        <f>'Támogatás szorzat tényezői'!$C$19*('Támogatás szorzat tényezői'!$C$15/'Támogatás szorzat tényezői'!$C$14)</f>
        <v>240000</v>
      </c>
      <c r="N64" s="98">
        <f t="shared" si="5"/>
        <v>0</v>
      </c>
      <c r="O64" s="120">
        <f t="shared" si="6"/>
        <v>0</v>
      </c>
      <c r="P64" s="140"/>
      <c r="Q64" s="127">
        <f t="shared" si="7"/>
        <v>0</v>
      </c>
      <c r="R64" s="263" t="str">
        <f t="shared" si="8"/>
        <v/>
      </c>
    </row>
    <row r="65" spans="1:18" ht="30" customHeight="1" x14ac:dyDescent="0.25">
      <c r="A65" s="227"/>
      <c r="B65" s="235"/>
      <c r="C65" s="100"/>
      <c r="D65" s="100"/>
      <c r="E65" s="102"/>
      <c r="F65" s="100"/>
      <c r="G65" s="102"/>
      <c r="H65" s="97" t="str">
        <f>IFERROR(IF(E65="_2017_2018_ősz",VLOOKUP(F65,Háttértáblák!$L$2:$M$331,2,0),IF(E65="_2017_2018_keresztfélév",VLOOKUP(F65,Háttértáblák!$N$2:$O$326,2,0),IF(OR(E65="_2018_2019_ősz",E65="_2019_2020_ősz"),VLOOKUP(F65,Háttértáblák!$S$2:$T$334,2,0),VLOOKUP(F65,Háttértáblák!$U$2:$V$330,2,0)))),"")</f>
        <v/>
      </c>
      <c r="I65" s="97" t="str">
        <f t="shared" si="4"/>
        <v>_</v>
      </c>
      <c r="J65" s="97" t="e">
        <f>IF(#REF!="","",E65&amp;"_"&amp;IF(#REF!=0.5,"fél_év",#REF!))</f>
        <v>#REF!</v>
      </c>
      <c r="K65" s="97" t="str">
        <f>IF(E65="_2019_2020_ősz",VLOOKUP(F65,#REF!,4,0),IF(OR(E65="_2018_2019_ősz",E65="_2018_2019_keresztfélév"),VLOOKUP(F65,#REF!,4,0),IF(E65="_2017_2018_keresztfélév",VLOOKUP(F65,#REF!,4,0),IF(E65="_2017_2018_ősz",VLOOKUP(F65,#REF!,4,0),IF(OR(E65="_2016_2017_ősz",E65="_2016_2017_keresztfélév"),VLOOKUP(F65,#REF!,4,0),"HIBA!")))))</f>
        <v>HIBA!</v>
      </c>
      <c r="L65" s="143" t="e">
        <f>H65&amp;" "&amp;#REF!</f>
        <v>#REF!</v>
      </c>
      <c r="M65" s="136">
        <f>'Támogatás szorzat tényezői'!$C$19*('Támogatás szorzat tényezői'!$C$15/'Támogatás szorzat tényezői'!$C$14)</f>
        <v>240000</v>
      </c>
      <c r="N65" s="98">
        <f t="shared" si="5"/>
        <v>0</v>
      </c>
      <c r="O65" s="120">
        <f t="shared" si="6"/>
        <v>0</v>
      </c>
      <c r="P65" s="140"/>
      <c r="Q65" s="127">
        <f t="shared" si="7"/>
        <v>0</v>
      </c>
      <c r="R65" s="263" t="str">
        <f t="shared" si="8"/>
        <v/>
      </c>
    </row>
    <row r="66" spans="1:18" ht="30" customHeight="1" x14ac:dyDescent="0.25">
      <c r="A66" s="227"/>
      <c r="B66" s="235"/>
      <c r="C66" s="100"/>
      <c r="D66" s="100"/>
      <c r="E66" s="102"/>
      <c r="F66" s="100"/>
      <c r="G66" s="102"/>
      <c r="H66" s="97" t="str">
        <f>IFERROR(IF(E66="_2017_2018_ősz",VLOOKUP(F66,Háttértáblák!$L$2:$M$331,2,0),IF(E66="_2017_2018_keresztfélév",VLOOKUP(F66,Háttértáblák!$N$2:$O$326,2,0),IF(OR(E66="_2018_2019_ősz",E66="_2019_2020_ősz"),VLOOKUP(F66,Háttértáblák!$S$2:$T$334,2,0),VLOOKUP(F66,Háttértáblák!$U$2:$V$330,2,0)))),"")</f>
        <v/>
      </c>
      <c r="I66" s="97" t="str">
        <f t="shared" si="4"/>
        <v>_</v>
      </c>
      <c r="J66" s="97" t="e">
        <f>IF(#REF!="","",E66&amp;"_"&amp;IF(#REF!=0.5,"fél_év",#REF!))</f>
        <v>#REF!</v>
      </c>
      <c r="K66" s="97" t="str">
        <f>IF(E66="_2019_2020_ősz",VLOOKUP(F66,#REF!,4,0),IF(OR(E66="_2018_2019_ősz",E66="_2018_2019_keresztfélév"),VLOOKUP(F66,#REF!,4,0),IF(E66="_2017_2018_keresztfélév",VLOOKUP(F66,#REF!,4,0),IF(E66="_2017_2018_ősz",VLOOKUP(F66,#REF!,4,0),IF(OR(E66="_2016_2017_ősz",E66="_2016_2017_keresztfélév"),VLOOKUP(F66,#REF!,4,0),"HIBA!")))))</f>
        <v>HIBA!</v>
      </c>
      <c r="L66" s="143" t="e">
        <f>H66&amp;" "&amp;#REF!</f>
        <v>#REF!</v>
      </c>
      <c r="M66" s="136">
        <f>'Támogatás szorzat tényezői'!$C$19*('Támogatás szorzat tényezői'!$C$15/'Támogatás szorzat tényezői'!$C$14)</f>
        <v>240000</v>
      </c>
      <c r="N66" s="98">
        <f t="shared" si="5"/>
        <v>0</v>
      </c>
      <c r="O66" s="120">
        <f t="shared" si="6"/>
        <v>0</v>
      </c>
      <c r="P66" s="140"/>
      <c r="Q66" s="127">
        <f t="shared" si="7"/>
        <v>0</v>
      </c>
      <c r="R66" s="263" t="str">
        <f t="shared" si="8"/>
        <v/>
      </c>
    </row>
    <row r="67" spans="1:18" ht="30" customHeight="1" x14ac:dyDescent="0.25">
      <c r="A67" s="227"/>
      <c r="B67" s="235"/>
      <c r="C67" s="100"/>
      <c r="D67" s="100"/>
      <c r="E67" s="102"/>
      <c r="F67" s="100"/>
      <c r="G67" s="102"/>
      <c r="H67" s="97" t="str">
        <f>IFERROR(IF(E67="_2017_2018_ősz",VLOOKUP(F67,Háttértáblák!$L$2:$M$331,2,0),IF(E67="_2017_2018_keresztfélév",VLOOKUP(F67,Háttértáblák!$N$2:$O$326,2,0),IF(OR(E67="_2018_2019_ősz",E67="_2019_2020_ősz"),VLOOKUP(F67,Háttértáblák!$S$2:$T$334,2,0),VLOOKUP(F67,Háttértáblák!$U$2:$V$330,2,0)))),"")</f>
        <v/>
      </c>
      <c r="I67" s="97" t="str">
        <f t="shared" si="4"/>
        <v>_</v>
      </c>
      <c r="J67" s="97" t="e">
        <f>IF(#REF!="","",E67&amp;"_"&amp;IF(#REF!=0.5,"fél_év",#REF!))</f>
        <v>#REF!</v>
      </c>
      <c r="K67" s="97" t="str">
        <f>IF(E67="_2019_2020_ősz",VLOOKUP(F67,#REF!,4,0),IF(OR(E67="_2018_2019_ősz",E67="_2018_2019_keresztfélév"),VLOOKUP(F67,#REF!,4,0),IF(E67="_2017_2018_keresztfélév",VLOOKUP(F67,#REF!,4,0),IF(E67="_2017_2018_ősz",VLOOKUP(F67,#REF!,4,0),IF(OR(E67="_2016_2017_ősz",E67="_2016_2017_keresztfélév"),VLOOKUP(F67,#REF!,4,0),"HIBA!")))))</f>
        <v>HIBA!</v>
      </c>
      <c r="L67" s="143" t="e">
        <f>H67&amp;" "&amp;#REF!</f>
        <v>#REF!</v>
      </c>
      <c r="M67" s="136">
        <f>'Támogatás szorzat tényezői'!$C$19*('Támogatás szorzat tényezői'!$C$15/'Támogatás szorzat tényezői'!$C$14)</f>
        <v>240000</v>
      </c>
      <c r="N67" s="98">
        <f t="shared" si="5"/>
        <v>0</v>
      </c>
      <c r="O67" s="120">
        <f t="shared" si="6"/>
        <v>0</v>
      </c>
      <c r="P67" s="140"/>
      <c r="Q67" s="127">
        <f t="shared" si="7"/>
        <v>0</v>
      </c>
      <c r="R67" s="263" t="str">
        <f t="shared" si="8"/>
        <v/>
      </c>
    </row>
    <row r="68" spans="1:18" ht="30" customHeight="1" x14ac:dyDescent="0.25">
      <c r="A68" s="227"/>
      <c r="B68" s="235"/>
      <c r="C68" s="100"/>
      <c r="D68" s="100"/>
      <c r="E68" s="102"/>
      <c r="F68" s="100"/>
      <c r="G68" s="102"/>
      <c r="H68" s="97" t="str">
        <f>IFERROR(IF(E68="_2017_2018_ősz",VLOOKUP(F68,Háttértáblák!$L$2:$M$331,2,0),IF(E68="_2017_2018_keresztfélév",VLOOKUP(F68,Háttértáblák!$N$2:$O$326,2,0),IF(OR(E68="_2018_2019_ősz",E68="_2019_2020_ősz"),VLOOKUP(F68,Háttértáblák!$S$2:$T$334,2,0),VLOOKUP(F68,Háttértáblák!$U$2:$V$330,2,0)))),"")</f>
        <v/>
      </c>
      <c r="I68" s="97" t="str">
        <f t="shared" si="4"/>
        <v>_</v>
      </c>
      <c r="J68" s="97" t="e">
        <f>IF(#REF!="","",E68&amp;"_"&amp;IF(#REF!=0.5,"fél_év",#REF!))</f>
        <v>#REF!</v>
      </c>
      <c r="K68" s="97" t="str">
        <f>IF(E68="_2019_2020_ősz",VLOOKUP(F68,#REF!,4,0),IF(OR(E68="_2018_2019_ősz",E68="_2018_2019_keresztfélév"),VLOOKUP(F68,#REF!,4,0),IF(E68="_2017_2018_keresztfélév",VLOOKUP(F68,#REF!,4,0),IF(E68="_2017_2018_ősz",VLOOKUP(F68,#REF!,4,0),IF(OR(E68="_2016_2017_ősz",E68="_2016_2017_keresztfélév"),VLOOKUP(F68,#REF!,4,0),"HIBA!")))))</f>
        <v>HIBA!</v>
      </c>
      <c r="L68" s="143" t="e">
        <f>H68&amp;" "&amp;#REF!</f>
        <v>#REF!</v>
      </c>
      <c r="M68" s="136">
        <f>'Támogatás szorzat tényezői'!$C$19*('Támogatás szorzat tényezői'!$C$15/'Támogatás szorzat tényezői'!$C$14)</f>
        <v>240000</v>
      </c>
      <c r="N68" s="98">
        <f t="shared" si="5"/>
        <v>0</v>
      </c>
      <c r="O68" s="120">
        <f t="shared" si="6"/>
        <v>0</v>
      </c>
      <c r="P68" s="140"/>
      <c r="Q68" s="127">
        <f t="shared" si="7"/>
        <v>0</v>
      </c>
      <c r="R68" s="263" t="str">
        <f t="shared" si="8"/>
        <v/>
      </c>
    </row>
    <row r="69" spans="1:18" ht="30" customHeight="1" x14ac:dyDescent="0.25">
      <c r="A69" s="227"/>
      <c r="B69" s="235"/>
      <c r="C69" s="100"/>
      <c r="D69" s="100"/>
      <c r="E69" s="102"/>
      <c r="F69" s="100"/>
      <c r="G69" s="102"/>
      <c r="H69" s="97" t="str">
        <f>IFERROR(IF(E69="_2017_2018_ősz",VLOOKUP(F69,Háttértáblák!$L$2:$M$331,2,0),IF(E69="_2017_2018_keresztfélév",VLOOKUP(F69,Háttértáblák!$N$2:$O$326,2,0),IF(OR(E69="_2018_2019_ősz",E69="_2019_2020_ősz"),VLOOKUP(F69,Háttértáblák!$S$2:$T$334,2,0),VLOOKUP(F69,Háttértáblák!$U$2:$V$330,2,0)))),"")</f>
        <v/>
      </c>
      <c r="I69" s="97" t="str">
        <f t="shared" ref="I69:I103" si="9">"_"&amp;LEFT(H69,2)</f>
        <v>_</v>
      </c>
      <c r="J69" s="97" t="e">
        <f>IF(#REF!="","",E69&amp;"_"&amp;IF(#REF!=0.5,"fél_év",#REF!))</f>
        <v>#REF!</v>
      </c>
      <c r="K69" s="97" t="str">
        <f>IF(E69="_2019_2020_ősz",VLOOKUP(F69,#REF!,4,0),IF(OR(E69="_2018_2019_ősz",E69="_2018_2019_keresztfélév"),VLOOKUP(F69,#REF!,4,0),IF(E69="_2017_2018_keresztfélév",VLOOKUP(F69,#REF!,4,0),IF(E69="_2017_2018_ősz",VLOOKUP(F69,#REF!,4,0),IF(OR(E69="_2016_2017_ősz",E69="_2016_2017_keresztfélév"),VLOOKUP(F69,#REF!,4,0),"HIBA!")))))</f>
        <v>HIBA!</v>
      </c>
      <c r="L69" s="143" t="e">
        <f>H69&amp;" "&amp;#REF!</f>
        <v>#REF!</v>
      </c>
      <c r="M69" s="136">
        <f>'Támogatás szorzat tényezői'!$C$19*('Támogatás szorzat tényezői'!$C$15/'Támogatás szorzat tényezői'!$C$14)</f>
        <v>240000</v>
      </c>
      <c r="N69" s="98">
        <f t="shared" ref="N69:N103" si="10">G69*M69</f>
        <v>0</v>
      </c>
      <c r="O69" s="120">
        <f t="shared" ref="O69:O103" si="11">N69</f>
        <v>0</v>
      </c>
      <c r="P69" s="140"/>
      <c r="Q69" s="127">
        <f t="shared" ref="Q69:Q103" si="12">M69*P69</f>
        <v>0</v>
      </c>
      <c r="R69" s="263" t="str">
        <f t="shared" ref="R69:R103" si="13">IF(OR(G69="",P69=""),"",IF(P69&lt;G69,"A ''G'' és/vagy a ''P'' oszlop értéke hibás! Kérjük balról jobbra haladva adja meg a helyes értékeket.",""))</f>
        <v/>
      </c>
    </row>
    <row r="70" spans="1:18" ht="30" customHeight="1" x14ac:dyDescent="0.25">
      <c r="A70" s="227"/>
      <c r="B70" s="235"/>
      <c r="C70" s="100"/>
      <c r="D70" s="100"/>
      <c r="E70" s="102"/>
      <c r="F70" s="100"/>
      <c r="G70" s="102"/>
      <c r="H70" s="97" t="str">
        <f>IFERROR(IF(E70="_2017_2018_ősz",VLOOKUP(F70,Háttértáblák!$L$2:$M$331,2,0),IF(E70="_2017_2018_keresztfélév",VLOOKUP(F70,Háttértáblák!$N$2:$O$326,2,0),IF(OR(E70="_2018_2019_ősz",E70="_2019_2020_ősz"),VLOOKUP(F70,Háttértáblák!$S$2:$T$334,2,0),VLOOKUP(F70,Háttértáblák!$U$2:$V$330,2,0)))),"")</f>
        <v/>
      </c>
      <c r="I70" s="97" t="str">
        <f t="shared" si="9"/>
        <v>_</v>
      </c>
      <c r="J70" s="97" t="e">
        <f>IF(#REF!="","",E70&amp;"_"&amp;IF(#REF!=0.5,"fél_év",#REF!))</f>
        <v>#REF!</v>
      </c>
      <c r="K70" s="97" t="str">
        <f>IF(E70="_2019_2020_ősz",VLOOKUP(F70,#REF!,4,0),IF(OR(E70="_2018_2019_ősz",E70="_2018_2019_keresztfélév"),VLOOKUP(F70,#REF!,4,0),IF(E70="_2017_2018_keresztfélév",VLOOKUP(F70,#REF!,4,0),IF(E70="_2017_2018_ősz",VLOOKUP(F70,#REF!,4,0),IF(OR(E70="_2016_2017_ősz",E70="_2016_2017_keresztfélév"),VLOOKUP(F70,#REF!,4,0),"HIBA!")))))</f>
        <v>HIBA!</v>
      </c>
      <c r="L70" s="143" t="e">
        <f>H70&amp;" "&amp;#REF!</f>
        <v>#REF!</v>
      </c>
      <c r="M70" s="136">
        <f>'Támogatás szorzat tényezői'!$C$19*('Támogatás szorzat tényezői'!$C$15/'Támogatás szorzat tényezői'!$C$14)</f>
        <v>240000</v>
      </c>
      <c r="N70" s="98">
        <f t="shared" si="10"/>
        <v>0</v>
      </c>
      <c r="O70" s="120">
        <f t="shared" si="11"/>
        <v>0</v>
      </c>
      <c r="P70" s="140"/>
      <c r="Q70" s="127">
        <f t="shared" si="12"/>
        <v>0</v>
      </c>
      <c r="R70" s="263" t="str">
        <f t="shared" si="13"/>
        <v/>
      </c>
    </row>
    <row r="71" spans="1:18" ht="30" customHeight="1" x14ac:dyDescent="0.25">
      <c r="A71" s="227"/>
      <c r="B71" s="235"/>
      <c r="C71" s="100"/>
      <c r="D71" s="100"/>
      <c r="E71" s="102"/>
      <c r="F71" s="100"/>
      <c r="G71" s="102"/>
      <c r="H71" s="97" t="str">
        <f>IFERROR(IF(E71="_2017_2018_ősz",VLOOKUP(F71,Háttértáblák!$L$2:$M$331,2,0),IF(E71="_2017_2018_keresztfélév",VLOOKUP(F71,Háttértáblák!$N$2:$O$326,2,0),IF(OR(E71="_2018_2019_ősz",E71="_2019_2020_ősz"),VLOOKUP(F71,Háttértáblák!$S$2:$T$334,2,0),VLOOKUP(F71,Háttértáblák!$U$2:$V$330,2,0)))),"")</f>
        <v/>
      </c>
      <c r="I71" s="97" t="str">
        <f t="shared" si="9"/>
        <v>_</v>
      </c>
      <c r="J71" s="97" t="e">
        <f>IF(#REF!="","",E71&amp;"_"&amp;IF(#REF!=0.5,"fél_év",#REF!))</f>
        <v>#REF!</v>
      </c>
      <c r="K71" s="97" t="str">
        <f>IF(E71="_2019_2020_ősz",VLOOKUP(F71,#REF!,4,0),IF(OR(E71="_2018_2019_ősz",E71="_2018_2019_keresztfélév"),VLOOKUP(F71,#REF!,4,0),IF(E71="_2017_2018_keresztfélév",VLOOKUP(F71,#REF!,4,0),IF(E71="_2017_2018_ősz",VLOOKUP(F71,#REF!,4,0),IF(OR(E71="_2016_2017_ősz",E71="_2016_2017_keresztfélév"),VLOOKUP(F71,#REF!,4,0),"HIBA!")))))</f>
        <v>HIBA!</v>
      </c>
      <c r="L71" s="143" t="e">
        <f>H71&amp;" "&amp;#REF!</f>
        <v>#REF!</v>
      </c>
      <c r="M71" s="136">
        <f>'Támogatás szorzat tényezői'!$C$19*('Támogatás szorzat tényezői'!$C$15/'Támogatás szorzat tényezői'!$C$14)</f>
        <v>240000</v>
      </c>
      <c r="N71" s="98">
        <f t="shared" si="10"/>
        <v>0</v>
      </c>
      <c r="O71" s="120">
        <f t="shared" si="11"/>
        <v>0</v>
      </c>
      <c r="P71" s="140"/>
      <c r="Q71" s="127">
        <f t="shared" si="12"/>
        <v>0</v>
      </c>
      <c r="R71" s="263" t="str">
        <f t="shared" si="13"/>
        <v/>
      </c>
    </row>
    <row r="72" spans="1:18" ht="30" customHeight="1" x14ac:dyDescent="0.25">
      <c r="A72" s="227"/>
      <c r="B72" s="235"/>
      <c r="C72" s="100"/>
      <c r="D72" s="100"/>
      <c r="E72" s="102"/>
      <c r="F72" s="100"/>
      <c r="G72" s="102"/>
      <c r="H72" s="97" t="str">
        <f>IFERROR(IF(E72="_2017_2018_ősz",VLOOKUP(F72,Háttértáblák!$L$2:$M$331,2,0),IF(E72="_2017_2018_keresztfélév",VLOOKUP(F72,Háttértáblák!$N$2:$O$326,2,0),IF(OR(E72="_2018_2019_ősz",E72="_2019_2020_ősz"),VLOOKUP(F72,Háttértáblák!$S$2:$T$334,2,0),VLOOKUP(F72,Háttértáblák!$U$2:$V$330,2,0)))),"")</f>
        <v/>
      </c>
      <c r="I72" s="97" t="str">
        <f t="shared" si="9"/>
        <v>_</v>
      </c>
      <c r="J72" s="97" t="e">
        <f>IF(#REF!="","",E72&amp;"_"&amp;IF(#REF!=0.5,"fél_év",#REF!))</f>
        <v>#REF!</v>
      </c>
      <c r="K72" s="97" t="str">
        <f>IF(E72="_2019_2020_ősz",VLOOKUP(F72,#REF!,4,0),IF(OR(E72="_2018_2019_ősz",E72="_2018_2019_keresztfélév"),VLOOKUP(F72,#REF!,4,0),IF(E72="_2017_2018_keresztfélév",VLOOKUP(F72,#REF!,4,0),IF(E72="_2017_2018_ősz",VLOOKUP(F72,#REF!,4,0),IF(OR(E72="_2016_2017_ősz",E72="_2016_2017_keresztfélév"),VLOOKUP(F72,#REF!,4,0),"HIBA!")))))</f>
        <v>HIBA!</v>
      </c>
      <c r="L72" s="143" t="e">
        <f>H72&amp;" "&amp;#REF!</f>
        <v>#REF!</v>
      </c>
      <c r="M72" s="136">
        <f>'Támogatás szorzat tényezői'!$C$19*('Támogatás szorzat tényezői'!$C$15/'Támogatás szorzat tényezői'!$C$14)</f>
        <v>240000</v>
      </c>
      <c r="N72" s="98">
        <f t="shared" si="10"/>
        <v>0</v>
      </c>
      <c r="O72" s="120">
        <f t="shared" si="11"/>
        <v>0</v>
      </c>
      <c r="P72" s="140"/>
      <c r="Q72" s="127">
        <f t="shared" si="12"/>
        <v>0</v>
      </c>
      <c r="R72" s="263" t="str">
        <f t="shared" si="13"/>
        <v/>
      </c>
    </row>
    <row r="73" spans="1:18" ht="30" customHeight="1" x14ac:dyDescent="0.25">
      <c r="A73" s="227"/>
      <c r="B73" s="235"/>
      <c r="C73" s="100"/>
      <c r="D73" s="100"/>
      <c r="E73" s="102"/>
      <c r="F73" s="100"/>
      <c r="G73" s="102"/>
      <c r="H73" s="97" t="str">
        <f>IFERROR(IF(E73="_2017_2018_ősz",VLOOKUP(F73,Háttértáblák!$L$2:$M$331,2,0),IF(E73="_2017_2018_keresztfélév",VLOOKUP(F73,Háttértáblák!$N$2:$O$326,2,0),IF(OR(E73="_2018_2019_ősz",E73="_2019_2020_ősz"),VLOOKUP(F73,Háttértáblák!$S$2:$T$334,2,0),VLOOKUP(F73,Háttértáblák!$U$2:$V$330,2,0)))),"")</f>
        <v/>
      </c>
      <c r="I73" s="97" t="str">
        <f t="shared" si="9"/>
        <v>_</v>
      </c>
      <c r="J73" s="97" t="e">
        <f>IF(#REF!="","",E73&amp;"_"&amp;IF(#REF!=0.5,"fél_év",#REF!))</f>
        <v>#REF!</v>
      </c>
      <c r="K73" s="97" t="str">
        <f>IF(E73="_2019_2020_ősz",VLOOKUP(F73,#REF!,4,0),IF(OR(E73="_2018_2019_ősz",E73="_2018_2019_keresztfélév"),VLOOKUP(F73,#REF!,4,0),IF(E73="_2017_2018_keresztfélév",VLOOKUP(F73,#REF!,4,0),IF(E73="_2017_2018_ősz",VLOOKUP(F73,#REF!,4,0),IF(OR(E73="_2016_2017_ősz",E73="_2016_2017_keresztfélév"),VLOOKUP(F73,#REF!,4,0),"HIBA!")))))</f>
        <v>HIBA!</v>
      </c>
      <c r="L73" s="143" t="e">
        <f>H73&amp;" "&amp;#REF!</f>
        <v>#REF!</v>
      </c>
      <c r="M73" s="136">
        <f>'Támogatás szorzat tényezői'!$C$19*('Támogatás szorzat tényezői'!$C$15/'Támogatás szorzat tényezői'!$C$14)</f>
        <v>240000</v>
      </c>
      <c r="N73" s="98">
        <f t="shared" si="10"/>
        <v>0</v>
      </c>
      <c r="O73" s="120">
        <f t="shared" si="11"/>
        <v>0</v>
      </c>
      <c r="P73" s="140"/>
      <c r="Q73" s="127">
        <f t="shared" si="12"/>
        <v>0</v>
      </c>
      <c r="R73" s="263" t="str">
        <f t="shared" si="13"/>
        <v/>
      </c>
    </row>
    <row r="74" spans="1:18" ht="30" customHeight="1" x14ac:dyDescent="0.25">
      <c r="A74" s="227"/>
      <c r="B74" s="235"/>
      <c r="C74" s="100"/>
      <c r="D74" s="100"/>
      <c r="E74" s="102"/>
      <c r="F74" s="100"/>
      <c r="G74" s="102"/>
      <c r="H74" s="97" t="str">
        <f>IFERROR(IF(E74="_2017_2018_ősz",VLOOKUP(F74,Háttértáblák!$L$2:$M$331,2,0),IF(E74="_2017_2018_keresztfélév",VLOOKUP(F74,Háttértáblák!$N$2:$O$326,2,0),IF(OR(E74="_2018_2019_ősz",E74="_2019_2020_ősz"),VLOOKUP(F74,Háttértáblák!$S$2:$T$334,2,0),VLOOKUP(F74,Háttértáblák!$U$2:$V$330,2,0)))),"")</f>
        <v/>
      </c>
      <c r="I74" s="97" t="str">
        <f t="shared" si="9"/>
        <v>_</v>
      </c>
      <c r="J74" s="97" t="e">
        <f>IF(#REF!="","",E74&amp;"_"&amp;IF(#REF!=0.5,"fél_év",#REF!))</f>
        <v>#REF!</v>
      </c>
      <c r="K74" s="97" t="str">
        <f>IF(E74="_2019_2020_ősz",VLOOKUP(F74,#REF!,4,0),IF(OR(E74="_2018_2019_ősz",E74="_2018_2019_keresztfélév"),VLOOKUP(F74,#REF!,4,0),IF(E74="_2017_2018_keresztfélév",VLOOKUP(F74,#REF!,4,0),IF(E74="_2017_2018_ősz",VLOOKUP(F74,#REF!,4,0),IF(OR(E74="_2016_2017_ősz",E74="_2016_2017_keresztfélév"),VLOOKUP(F74,#REF!,4,0),"HIBA!")))))</f>
        <v>HIBA!</v>
      </c>
      <c r="L74" s="143" t="e">
        <f>H74&amp;" "&amp;#REF!</f>
        <v>#REF!</v>
      </c>
      <c r="M74" s="136">
        <f>'Támogatás szorzat tényezői'!$C$19*('Támogatás szorzat tényezői'!$C$15/'Támogatás szorzat tényezői'!$C$14)</f>
        <v>240000</v>
      </c>
      <c r="N74" s="98">
        <f t="shared" si="10"/>
        <v>0</v>
      </c>
      <c r="O74" s="120">
        <f t="shared" si="11"/>
        <v>0</v>
      </c>
      <c r="P74" s="140"/>
      <c r="Q74" s="127">
        <f t="shared" si="12"/>
        <v>0</v>
      </c>
      <c r="R74" s="263" t="str">
        <f t="shared" si="13"/>
        <v/>
      </c>
    </row>
    <row r="75" spans="1:18" ht="30" customHeight="1" x14ac:dyDescent="0.25">
      <c r="A75" s="227"/>
      <c r="B75" s="235"/>
      <c r="C75" s="100"/>
      <c r="D75" s="100"/>
      <c r="E75" s="102"/>
      <c r="F75" s="100"/>
      <c r="G75" s="102"/>
      <c r="H75" s="97" t="str">
        <f>IFERROR(IF(E75="_2017_2018_ősz",VLOOKUP(F75,Háttértáblák!$L$2:$M$331,2,0),IF(E75="_2017_2018_keresztfélév",VLOOKUP(F75,Háttértáblák!$N$2:$O$326,2,0),IF(OR(E75="_2018_2019_ősz",E75="_2019_2020_ősz"),VLOOKUP(F75,Háttértáblák!$S$2:$T$334,2,0),VLOOKUP(F75,Háttértáblák!$U$2:$V$330,2,0)))),"")</f>
        <v/>
      </c>
      <c r="I75" s="97" t="str">
        <f t="shared" si="9"/>
        <v>_</v>
      </c>
      <c r="J75" s="97" t="e">
        <f>IF(#REF!="","",E75&amp;"_"&amp;IF(#REF!=0.5,"fél_év",#REF!))</f>
        <v>#REF!</v>
      </c>
      <c r="K75" s="97" t="str">
        <f>IF(E75="_2019_2020_ősz",VLOOKUP(F75,#REF!,4,0),IF(OR(E75="_2018_2019_ősz",E75="_2018_2019_keresztfélév"),VLOOKUP(F75,#REF!,4,0),IF(E75="_2017_2018_keresztfélév",VLOOKUP(F75,#REF!,4,0),IF(E75="_2017_2018_ősz",VLOOKUP(F75,#REF!,4,0),IF(OR(E75="_2016_2017_ősz",E75="_2016_2017_keresztfélév"),VLOOKUP(F75,#REF!,4,0),"HIBA!")))))</f>
        <v>HIBA!</v>
      </c>
      <c r="L75" s="143" t="e">
        <f>H75&amp;" "&amp;#REF!</f>
        <v>#REF!</v>
      </c>
      <c r="M75" s="136">
        <f>'Támogatás szorzat tényezői'!$C$19*('Támogatás szorzat tényezői'!$C$15/'Támogatás szorzat tényezői'!$C$14)</f>
        <v>240000</v>
      </c>
      <c r="N75" s="98">
        <f t="shared" si="10"/>
        <v>0</v>
      </c>
      <c r="O75" s="120">
        <f t="shared" si="11"/>
        <v>0</v>
      </c>
      <c r="P75" s="140"/>
      <c r="Q75" s="127">
        <f t="shared" si="12"/>
        <v>0</v>
      </c>
      <c r="R75" s="263" t="str">
        <f t="shared" si="13"/>
        <v/>
      </c>
    </row>
    <row r="76" spans="1:18" ht="30" customHeight="1" x14ac:dyDescent="0.25">
      <c r="A76" s="227"/>
      <c r="B76" s="235"/>
      <c r="C76" s="100"/>
      <c r="D76" s="100"/>
      <c r="E76" s="102"/>
      <c r="F76" s="100"/>
      <c r="G76" s="102"/>
      <c r="H76" s="97" t="str">
        <f>IFERROR(IF(E76="_2017_2018_ősz",VLOOKUP(F76,Háttértáblák!$L$2:$M$331,2,0),IF(E76="_2017_2018_keresztfélév",VLOOKUP(F76,Háttértáblák!$N$2:$O$326,2,0),IF(OR(E76="_2018_2019_ősz",E76="_2019_2020_ősz"),VLOOKUP(F76,Háttértáblák!$S$2:$T$334,2,0),VLOOKUP(F76,Háttértáblák!$U$2:$V$330,2,0)))),"")</f>
        <v/>
      </c>
      <c r="I76" s="97" t="str">
        <f t="shared" si="9"/>
        <v>_</v>
      </c>
      <c r="J76" s="97" t="e">
        <f>IF(#REF!="","",E76&amp;"_"&amp;IF(#REF!=0.5,"fél_év",#REF!))</f>
        <v>#REF!</v>
      </c>
      <c r="K76" s="97" t="str">
        <f>IF(E76="_2019_2020_ősz",VLOOKUP(F76,#REF!,4,0),IF(OR(E76="_2018_2019_ősz",E76="_2018_2019_keresztfélév"),VLOOKUP(F76,#REF!,4,0),IF(E76="_2017_2018_keresztfélév",VLOOKUP(F76,#REF!,4,0),IF(E76="_2017_2018_ősz",VLOOKUP(F76,#REF!,4,0),IF(OR(E76="_2016_2017_ősz",E76="_2016_2017_keresztfélév"),VLOOKUP(F76,#REF!,4,0),"HIBA!")))))</f>
        <v>HIBA!</v>
      </c>
      <c r="L76" s="143" t="e">
        <f>H76&amp;" "&amp;#REF!</f>
        <v>#REF!</v>
      </c>
      <c r="M76" s="136">
        <f>'Támogatás szorzat tényezői'!$C$19*('Támogatás szorzat tényezői'!$C$15/'Támogatás szorzat tényezői'!$C$14)</f>
        <v>240000</v>
      </c>
      <c r="N76" s="98">
        <f t="shared" si="10"/>
        <v>0</v>
      </c>
      <c r="O76" s="120">
        <f t="shared" si="11"/>
        <v>0</v>
      </c>
      <c r="P76" s="140"/>
      <c r="Q76" s="127">
        <f t="shared" si="12"/>
        <v>0</v>
      </c>
      <c r="R76" s="263" t="str">
        <f t="shared" si="13"/>
        <v/>
      </c>
    </row>
    <row r="77" spans="1:18" ht="30" customHeight="1" x14ac:dyDescent="0.25">
      <c r="A77" s="227"/>
      <c r="B77" s="235"/>
      <c r="C77" s="100"/>
      <c r="D77" s="100"/>
      <c r="E77" s="102"/>
      <c r="F77" s="100"/>
      <c r="G77" s="102"/>
      <c r="H77" s="97" t="str">
        <f>IFERROR(IF(E77="_2017_2018_ősz",VLOOKUP(F77,Háttértáblák!$L$2:$M$331,2,0),IF(E77="_2017_2018_keresztfélév",VLOOKUP(F77,Háttértáblák!$N$2:$O$326,2,0),IF(OR(E77="_2018_2019_ősz",E77="_2019_2020_ősz"),VLOOKUP(F77,Háttértáblák!$S$2:$T$334,2,0),VLOOKUP(F77,Háttértáblák!$U$2:$V$330,2,0)))),"")</f>
        <v/>
      </c>
      <c r="I77" s="97" t="str">
        <f t="shared" si="9"/>
        <v>_</v>
      </c>
      <c r="J77" s="97" t="e">
        <f>IF(#REF!="","",E77&amp;"_"&amp;IF(#REF!=0.5,"fél_év",#REF!))</f>
        <v>#REF!</v>
      </c>
      <c r="K77" s="97" t="str">
        <f>IF(E77="_2019_2020_ősz",VLOOKUP(F77,#REF!,4,0),IF(OR(E77="_2018_2019_ősz",E77="_2018_2019_keresztfélév"),VLOOKUP(F77,#REF!,4,0),IF(E77="_2017_2018_keresztfélév",VLOOKUP(F77,#REF!,4,0),IF(E77="_2017_2018_ősz",VLOOKUP(F77,#REF!,4,0),IF(OR(E77="_2016_2017_ősz",E77="_2016_2017_keresztfélév"),VLOOKUP(F77,#REF!,4,0),"HIBA!")))))</f>
        <v>HIBA!</v>
      </c>
      <c r="L77" s="143" t="e">
        <f>H77&amp;" "&amp;#REF!</f>
        <v>#REF!</v>
      </c>
      <c r="M77" s="136">
        <f>'Támogatás szorzat tényezői'!$C$19*('Támogatás szorzat tényezői'!$C$15/'Támogatás szorzat tényezői'!$C$14)</f>
        <v>240000</v>
      </c>
      <c r="N77" s="98">
        <f t="shared" si="10"/>
        <v>0</v>
      </c>
      <c r="O77" s="120">
        <f t="shared" si="11"/>
        <v>0</v>
      </c>
      <c r="P77" s="140"/>
      <c r="Q77" s="127">
        <f t="shared" si="12"/>
        <v>0</v>
      </c>
      <c r="R77" s="263" t="str">
        <f t="shared" si="13"/>
        <v/>
      </c>
    </row>
    <row r="78" spans="1:18" ht="30" customHeight="1" x14ac:dyDescent="0.25">
      <c r="A78" s="227"/>
      <c r="B78" s="235"/>
      <c r="C78" s="100"/>
      <c r="D78" s="100"/>
      <c r="E78" s="102"/>
      <c r="F78" s="100"/>
      <c r="G78" s="102"/>
      <c r="H78" s="97" t="str">
        <f>IFERROR(IF(E78="_2017_2018_ősz",VLOOKUP(F78,Háttértáblák!$L$2:$M$331,2,0),IF(E78="_2017_2018_keresztfélév",VLOOKUP(F78,Háttértáblák!$N$2:$O$326,2,0),IF(OR(E78="_2018_2019_ősz",E78="_2019_2020_ősz"),VLOOKUP(F78,Háttértáblák!$S$2:$T$334,2,0),VLOOKUP(F78,Háttértáblák!$U$2:$V$330,2,0)))),"")</f>
        <v/>
      </c>
      <c r="I78" s="97" t="str">
        <f t="shared" si="9"/>
        <v>_</v>
      </c>
      <c r="J78" s="97" t="e">
        <f>IF(#REF!="","",E78&amp;"_"&amp;IF(#REF!=0.5,"fél_év",#REF!))</f>
        <v>#REF!</v>
      </c>
      <c r="K78" s="97" t="str">
        <f>IF(E78="_2019_2020_ősz",VLOOKUP(F78,#REF!,4,0),IF(OR(E78="_2018_2019_ősz",E78="_2018_2019_keresztfélév"),VLOOKUP(F78,#REF!,4,0),IF(E78="_2017_2018_keresztfélév",VLOOKUP(F78,#REF!,4,0),IF(E78="_2017_2018_ősz",VLOOKUP(F78,#REF!,4,0),IF(OR(E78="_2016_2017_ősz",E78="_2016_2017_keresztfélév"),VLOOKUP(F78,#REF!,4,0),"HIBA!")))))</f>
        <v>HIBA!</v>
      </c>
      <c r="L78" s="143" t="e">
        <f>H78&amp;" "&amp;#REF!</f>
        <v>#REF!</v>
      </c>
      <c r="M78" s="136">
        <f>'Támogatás szorzat tényezői'!$C$19*('Támogatás szorzat tényezői'!$C$15/'Támogatás szorzat tényezői'!$C$14)</f>
        <v>240000</v>
      </c>
      <c r="N78" s="98">
        <f t="shared" si="10"/>
        <v>0</v>
      </c>
      <c r="O78" s="120">
        <f t="shared" si="11"/>
        <v>0</v>
      </c>
      <c r="P78" s="140"/>
      <c r="Q78" s="127">
        <f t="shared" si="12"/>
        <v>0</v>
      </c>
      <c r="R78" s="263" t="str">
        <f t="shared" si="13"/>
        <v/>
      </c>
    </row>
    <row r="79" spans="1:18" ht="30" customHeight="1" x14ac:dyDescent="0.25">
      <c r="A79" s="227"/>
      <c r="B79" s="235"/>
      <c r="C79" s="100"/>
      <c r="D79" s="100"/>
      <c r="E79" s="102"/>
      <c r="F79" s="100"/>
      <c r="G79" s="102"/>
      <c r="H79" s="97" t="str">
        <f>IFERROR(IF(E79="_2017_2018_ősz",VLOOKUP(F79,Háttértáblák!$L$2:$M$331,2,0),IF(E79="_2017_2018_keresztfélév",VLOOKUP(F79,Háttértáblák!$N$2:$O$326,2,0),IF(OR(E79="_2018_2019_ősz",E79="_2019_2020_ősz"),VLOOKUP(F79,Háttértáblák!$S$2:$T$334,2,0),VLOOKUP(F79,Háttértáblák!$U$2:$V$330,2,0)))),"")</f>
        <v/>
      </c>
      <c r="I79" s="97" t="str">
        <f t="shared" si="9"/>
        <v>_</v>
      </c>
      <c r="J79" s="97" t="e">
        <f>IF(#REF!="","",E79&amp;"_"&amp;IF(#REF!=0.5,"fél_év",#REF!))</f>
        <v>#REF!</v>
      </c>
      <c r="K79" s="97" t="str">
        <f>IF(E79="_2019_2020_ősz",VLOOKUP(F79,#REF!,4,0),IF(OR(E79="_2018_2019_ősz",E79="_2018_2019_keresztfélév"),VLOOKUP(F79,#REF!,4,0),IF(E79="_2017_2018_keresztfélév",VLOOKUP(F79,#REF!,4,0),IF(E79="_2017_2018_ősz",VLOOKUP(F79,#REF!,4,0),IF(OR(E79="_2016_2017_ősz",E79="_2016_2017_keresztfélév"),VLOOKUP(F79,#REF!,4,0),"HIBA!")))))</f>
        <v>HIBA!</v>
      </c>
      <c r="L79" s="143" t="e">
        <f>H79&amp;" "&amp;#REF!</f>
        <v>#REF!</v>
      </c>
      <c r="M79" s="136">
        <f>'Támogatás szorzat tényezői'!$C$19*('Támogatás szorzat tényezői'!$C$15/'Támogatás szorzat tényezői'!$C$14)</f>
        <v>240000</v>
      </c>
      <c r="N79" s="98">
        <f t="shared" si="10"/>
        <v>0</v>
      </c>
      <c r="O79" s="120">
        <f t="shared" si="11"/>
        <v>0</v>
      </c>
      <c r="P79" s="140"/>
      <c r="Q79" s="127">
        <f t="shared" si="12"/>
        <v>0</v>
      </c>
      <c r="R79" s="263" t="str">
        <f t="shared" si="13"/>
        <v/>
      </c>
    </row>
    <row r="80" spans="1:18" ht="30" customHeight="1" x14ac:dyDescent="0.25">
      <c r="A80" s="227"/>
      <c r="B80" s="235"/>
      <c r="C80" s="100"/>
      <c r="D80" s="100"/>
      <c r="E80" s="102"/>
      <c r="F80" s="100"/>
      <c r="G80" s="102"/>
      <c r="H80" s="97" t="str">
        <f>IFERROR(IF(E80="_2017_2018_ősz",VLOOKUP(F80,Háttértáblák!$L$2:$M$331,2,0),IF(E80="_2017_2018_keresztfélév",VLOOKUP(F80,Háttértáblák!$N$2:$O$326,2,0),IF(OR(E80="_2018_2019_ősz",E80="_2019_2020_ősz"),VLOOKUP(F80,Háttértáblák!$S$2:$T$334,2,0),VLOOKUP(F80,Háttértáblák!$U$2:$V$330,2,0)))),"")</f>
        <v/>
      </c>
      <c r="I80" s="97" t="str">
        <f t="shared" si="9"/>
        <v>_</v>
      </c>
      <c r="J80" s="97" t="e">
        <f>IF(#REF!="","",E80&amp;"_"&amp;IF(#REF!=0.5,"fél_év",#REF!))</f>
        <v>#REF!</v>
      </c>
      <c r="K80" s="97" t="str">
        <f>IF(E80="_2019_2020_ősz",VLOOKUP(F80,#REF!,4,0),IF(OR(E80="_2018_2019_ősz",E80="_2018_2019_keresztfélév"),VLOOKUP(F80,#REF!,4,0),IF(E80="_2017_2018_keresztfélév",VLOOKUP(F80,#REF!,4,0),IF(E80="_2017_2018_ősz",VLOOKUP(F80,#REF!,4,0),IF(OR(E80="_2016_2017_ősz",E80="_2016_2017_keresztfélév"),VLOOKUP(F80,#REF!,4,0),"HIBA!")))))</f>
        <v>HIBA!</v>
      </c>
      <c r="L80" s="143" t="e">
        <f>H80&amp;" "&amp;#REF!</f>
        <v>#REF!</v>
      </c>
      <c r="M80" s="136">
        <f>'Támogatás szorzat tényezői'!$C$19*('Támogatás szorzat tényezői'!$C$15/'Támogatás szorzat tényezői'!$C$14)</f>
        <v>240000</v>
      </c>
      <c r="N80" s="98">
        <f t="shared" si="10"/>
        <v>0</v>
      </c>
      <c r="O80" s="120">
        <f t="shared" si="11"/>
        <v>0</v>
      </c>
      <c r="P80" s="140"/>
      <c r="Q80" s="127">
        <f t="shared" si="12"/>
        <v>0</v>
      </c>
      <c r="R80" s="263" t="str">
        <f t="shared" si="13"/>
        <v/>
      </c>
    </row>
    <row r="81" spans="1:18" ht="30" customHeight="1" x14ac:dyDescent="0.25">
      <c r="A81" s="227"/>
      <c r="B81" s="235"/>
      <c r="C81" s="100"/>
      <c r="D81" s="100"/>
      <c r="E81" s="102"/>
      <c r="F81" s="100"/>
      <c r="G81" s="102"/>
      <c r="H81" s="97" t="str">
        <f>IFERROR(IF(E81="_2017_2018_ősz",VLOOKUP(F81,Háttértáblák!$L$2:$M$331,2,0),IF(E81="_2017_2018_keresztfélév",VLOOKUP(F81,Háttértáblák!$N$2:$O$326,2,0),IF(OR(E81="_2018_2019_ősz",E81="_2019_2020_ősz"),VLOOKUP(F81,Háttértáblák!$S$2:$T$334,2,0),VLOOKUP(F81,Háttértáblák!$U$2:$V$330,2,0)))),"")</f>
        <v/>
      </c>
      <c r="I81" s="97" t="str">
        <f t="shared" si="9"/>
        <v>_</v>
      </c>
      <c r="J81" s="97" t="e">
        <f>IF(#REF!="","",E81&amp;"_"&amp;IF(#REF!=0.5,"fél_év",#REF!))</f>
        <v>#REF!</v>
      </c>
      <c r="K81" s="97" t="str">
        <f>IF(E81="_2019_2020_ősz",VLOOKUP(F81,#REF!,4,0),IF(OR(E81="_2018_2019_ősz",E81="_2018_2019_keresztfélév"),VLOOKUP(F81,#REF!,4,0),IF(E81="_2017_2018_keresztfélév",VLOOKUP(F81,#REF!,4,0),IF(E81="_2017_2018_ősz",VLOOKUP(F81,#REF!,4,0),IF(OR(E81="_2016_2017_ősz",E81="_2016_2017_keresztfélév"),VLOOKUP(F81,#REF!,4,0),"HIBA!")))))</f>
        <v>HIBA!</v>
      </c>
      <c r="L81" s="143" t="e">
        <f>H81&amp;" "&amp;#REF!</f>
        <v>#REF!</v>
      </c>
      <c r="M81" s="136">
        <f>'Támogatás szorzat tényezői'!$C$19*('Támogatás szorzat tényezői'!$C$15/'Támogatás szorzat tényezői'!$C$14)</f>
        <v>240000</v>
      </c>
      <c r="N81" s="98">
        <f t="shared" si="10"/>
        <v>0</v>
      </c>
      <c r="O81" s="120">
        <f t="shared" si="11"/>
        <v>0</v>
      </c>
      <c r="P81" s="140"/>
      <c r="Q81" s="127">
        <f t="shared" si="12"/>
        <v>0</v>
      </c>
      <c r="R81" s="263" t="str">
        <f t="shared" si="13"/>
        <v/>
      </c>
    </row>
    <row r="82" spans="1:18" ht="30" customHeight="1" x14ac:dyDescent="0.25">
      <c r="A82" s="227"/>
      <c r="B82" s="235"/>
      <c r="C82" s="100"/>
      <c r="D82" s="100"/>
      <c r="E82" s="102"/>
      <c r="F82" s="100"/>
      <c r="G82" s="102"/>
      <c r="H82" s="97" t="str">
        <f>IFERROR(IF(E82="_2017_2018_ősz",VLOOKUP(F82,Háttértáblák!$L$2:$M$331,2,0),IF(E82="_2017_2018_keresztfélév",VLOOKUP(F82,Háttértáblák!$N$2:$O$326,2,0),IF(OR(E82="_2018_2019_ősz",E82="_2019_2020_ősz"),VLOOKUP(F82,Háttértáblák!$S$2:$T$334,2,0),VLOOKUP(F82,Háttértáblák!$U$2:$V$330,2,0)))),"")</f>
        <v/>
      </c>
      <c r="I82" s="97" t="str">
        <f t="shared" si="9"/>
        <v>_</v>
      </c>
      <c r="J82" s="97" t="e">
        <f>IF(#REF!="","",E82&amp;"_"&amp;IF(#REF!=0.5,"fél_év",#REF!))</f>
        <v>#REF!</v>
      </c>
      <c r="K82" s="97" t="str">
        <f>IF(E82="_2019_2020_ősz",VLOOKUP(F82,#REF!,4,0),IF(OR(E82="_2018_2019_ősz",E82="_2018_2019_keresztfélév"),VLOOKUP(F82,#REF!,4,0),IF(E82="_2017_2018_keresztfélév",VLOOKUP(F82,#REF!,4,0),IF(E82="_2017_2018_ősz",VLOOKUP(F82,#REF!,4,0),IF(OR(E82="_2016_2017_ősz",E82="_2016_2017_keresztfélév"),VLOOKUP(F82,#REF!,4,0),"HIBA!")))))</f>
        <v>HIBA!</v>
      </c>
      <c r="L82" s="143" t="e">
        <f>H82&amp;" "&amp;#REF!</f>
        <v>#REF!</v>
      </c>
      <c r="M82" s="136">
        <f>'Támogatás szorzat tényezői'!$C$19*('Támogatás szorzat tényezői'!$C$15/'Támogatás szorzat tényezői'!$C$14)</f>
        <v>240000</v>
      </c>
      <c r="N82" s="98">
        <f t="shared" si="10"/>
        <v>0</v>
      </c>
      <c r="O82" s="120">
        <f t="shared" si="11"/>
        <v>0</v>
      </c>
      <c r="P82" s="140"/>
      <c r="Q82" s="127">
        <f t="shared" si="12"/>
        <v>0</v>
      </c>
      <c r="R82" s="263" t="str">
        <f t="shared" si="13"/>
        <v/>
      </c>
    </row>
    <row r="83" spans="1:18" ht="30" customHeight="1" x14ac:dyDescent="0.25">
      <c r="A83" s="227"/>
      <c r="B83" s="235"/>
      <c r="C83" s="100"/>
      <c r="D83" s="100"/>
      <c r="E83" s="102"/>
      <c r="F83" s="100"/>
      <c r="G83" s="102"/>
      <c r="H83" s="97" t="str">
        <f>IFERROR(IF(E83="_2017_2018_ősz",VLOOKUP(F83,Háttértáblák!$L$2:$M$331,2,0),IF(E83="_2017_2018_keresztfélév",VLOOKUP(F83,Háttértáblák!$N$2:$O$326,2,0),IF(OR(E83="_2018_2019_ősz",E83="_2019_2020_ősz"),VLOOKUP(F83,Háttértáblák!$S$2:$T$334,2,0),VLOOKUP(F83,Háttértáblák!$U$2:$V$330,2,0)))),"")</f>
        <v/>
      </c>
      <c r="I83" s="97" t="str">
        <f t="shared" si="9"/>
        <v>_</v>
      </c>
      <c r="J83" s="97" t="e">
        <f>IF(#REF!="","",E83&amp;"_"&amp;IF(#REF!=0.5,"fél_év",#REF!))</f>
        <v>#REF!</v>
      </c>
      <c r="K83" s="97" t="str">
        <f>IF(E83="_2019_2020_ősz",VLOOKUP(F83,#REF!,4,0),IF(OR(E83="_2018_2019_ősz",E83="_2018_2019_keresztfélév"),VLOOKUP(F83,#REF!,4,0),IF(E83="_2017_2018_keresztfélév",VLOOKUP(F83,#REF!,4,0),IF(E83="_2017_2018_ősz",VLOOKUP(F83,#REF!,4,0),IF(OR(E83="_2016_2017_ősz",E83="_2016_2017_keresztfélév"),VLOOKUP(F83,#REF!,4,0),"HIBA!")))))</f>
        <v>HIBA!</v>
      </c>
      <c r="L83" s="143" t="e">
        <f>H83&amp;" "&amp;#REF!</f>
        <v>#REF!</v>
      </c>
      <c r="M83" s="136">
        <f>'Támogatás szorzat tényezői'!$C$19*('Támogatás szorzat tényezői'!$C$15/'Támogatás szorzat tényezői'!$C$14)</f>
        <v>240000</v>
      </c>
      <c r="N83" s="98">
        <f t="shared" si="10"/>
        <v>0</v>
      </c>
      <c r="O83" s="120">
        <f t="shared" si="11"/>
        <v>0</v>
      </c>
      <c r="P83" s="140"/>
      <c r="Q83" s="127">
        <f t="shared" si="12"/>
        <v>0</v>
      </c>
      <c r="R83" s="263" t="str">
        <f t="shared" si="13"/>
        <v/>
      </c>
    </row>
    <row r="84" spans="1:18" ht="30" customHeight="1" x14ac:dyDescent="0.25">
      <c r="A84" s="227"/>
      <c r="B84" s="235"/>
      <c r="C84" s="100"/>
      <c r="D84" s="100"/>
      <c r="E84" s="102"/>
      <c r="F84" s="100"/>
      <c r="G84" s="102"/>
      <c r="H84" s="97" t="str">
        <f>IFERROR(IF(E84="_2017_2018_ősz",VLOOKUP(F84,Háttértáblák!$L$2:$M$331,2,0),IF(E84="_2017_2018_keresztfélév",VLOOKUP(F84,Háttértáblák!$N$2:$O$326,2,0),IF(OR(E84="_2018_2019_ősz",E84="_2019_2020_ősz"),VLOOKUP(F84,Háttértáblák!$S$2:$T$334,2,0),VLOOKUP(F84,Háttértáblák!$U$2:$V$330,2,0)))),"")</f>
        <v/>
      </c>
      <c r="I84" s="97" t="str">
        <f t="shared" si="9"/>
        <v>_</v>
      </c>
      <c r="J84" s="97" t="e">
        <f>IF(#REF!="","",E84&amp;"_"&amp;IF(#REF!=0.5,"fél_év",#REF!))</f>
        <v>#REF!</v>
      </c>
      <c r="K84" s="97" t="str">
        <f>IF(E84="_2019_2020_ősz",VLOOKUP(F84,#REF!,4,0),IF(OR(E84="_2018_2019_ősz",E84="_2018_2019_keresztfélév"),VLOOKUP(F84,#REF!,4,0),IF(E84="_2017_2018_keresztfélév",VLOOKUP(F84,#REF!,4,0),IF(E84="_2017_2018_ősz",VLOOKUP(F84,#REF!,4,0),IF(OR(E84="_2016_2017_ősz",E84="_2016_2017_keresztfélév"),VLOOKUP(F84,#REF!,4,0),"HIBA!")))))</f>
        <v>HIBA!</v>
      </c>
      <c r="L84" s="143" t="e">
        <f>H84&amp;" "&amp;#REF!</f>
        <v>#REF!</v>
      </c>
      <c r="M84" s="136">
        <f>'Támogatás szorzat tényezői'!$C$19*('Támogatás szorzat tényezői'!$C$15/'Támogatás szorzat tényezői'!$C$14)</f>
        <v>240000</v>
      </c>
      <c r="N84" s="98">
        <f t="shared" si="10"/>
        <v>0</v>
      </c>
      <c r="O84" s="120">
        <f t="shared" si="11"/>
        <v>0</v>
      </c>
      <c r="P84" s="140"/>
      <c r="Q84" s="127">
        <f t="shared" si="12"/>
        <v>0</v>
      </c>
      <c r="R84" s="263" t="str">
        <f t="shared" si="13"/>
        <v/>
      </c>
    </row>
    <row r="85" spans="1:18" ht="30" customHeight="1" x14ac:dyDescent="0.25">
      <c r="A85" s="227"/>
      <c r="B85" s="235"/>
      <c r="C85" s="100"/>
      <c r="D85" s="100"/>
      <c r="E85" s="102"/>
      <c r="F85" s="100"/>
      <c r="G85" s="102"/>
      <c r="H85" s="97" t="str">
        <f>IFERROR(IF(E85="_2017_2018_ősz",VLOOKUP(F85,Háttértáblák!$L$2:$M$331,2,0),IF(E85="_2017_2018_keresztfélév",VLOOKUP(F85,Háttértáblák!$N$2:$O$326,2,0),IF(OR(E85="_2018_2019_ősz",E85="_2019_2020_ősz"),VLOOKUP(F85,Háttértáblák!$S$2:$T$334,2,0),VLOOKUP(F85,Háttértáblák!$U$2:$V$330,2,0)))),"")</f>
        <v/>
      </c>
      <c r="I85" s="97" t="str">
        <f t="shared" si="9"/>
        <v>_</v>
      </c>
      <c r="J85" s="97" t="e">
        <f>IF(#REF!="","",E85&amp;"_"&amp;IF(#REF!=0.5,"fél_év",#REF!))</f>
        <v>#REF!</v>
      </c>
      <c r="K85" s="97" t="str">
        <f>IF(E85="_2019_2020_ősz",VLOOKUP(F85,#REF!,4,0),IF(OR(E85="_2018_2019_ősz",E85="_2018_2019_keresztfélév"),VLOOKUP(F85,#REF!,4,0),IF(E85="_2017_2018_keresztfélév",VLOOKUP(F85,#REF!,4,0),IF(E85="_2017_2018_ősz",VLOOKUP(F85,#REF!,4,0),IF(OR(E85="_2016_2017_ősz",E85="_2016_2017_keresztfélév"),VLOOKUP(F85,#REF!,4,0),"HIBA!")))))</f>
        <v>HIBA!</v>
      </c>
      <c r="L85" s="143" t="e">
        <f>H85&amp;" "&amp;#REF!</f>
        <v>#REF!</v>
      </c>
      <c r="M85" s="136">
        <f>'Támogatás szorzat tényezői'!$C$19*('Támogatás szorzat tényezői'!$C$15/'Támogatás szorzat tényezői'!$C$14)</f>
        <v>240000</v>
      </c>
      <c r="N85" s="98">
        <f t="shared" si="10"/>
        <v>0</v>
      </c>
      <c r="O85" s="120">
        <f t="shared" si="11"/>
        <v>0</v>
      </c>
      <c r="P85" s="140"/>
      <c r="Q85" s="127">
        <f t="shared" si="12"/>
        <v>0</v>
      </c>
      <c r="R85" s="263" t="str">
        <f t="shared" si="13"/>
        <v/>
      </c>
    </row>
    <row r="86" spans="1:18" ht="30" customHeight="1" x14ac:dyDescent="0.25">
      <c r="A86" s="227"/>
      <c r="B86" s="235"/>
      <c r="C86" s="100"/>
      <c r="D86" s="100"/>
      <c r="E86" s="102"/>
      <c r="F86" s="100"/>
      <c r="G86" s="102"/>
      <c r="H86" s="97" t="str">
        <f>IFERROR(IF(E86="_2017_2018_ősz",VLOOKUP(F86,Háttértáblák!$L$2:$M$331,2,0),IF(E86="_2017_2018_keresztfélév",VLOOKUP(F86,Háttértáblák!$N$2:$O$326,2,0),IF(OR(E86="_2018_2019_ősz",E86="_2019_2020_ősz"),VLOOKUP(F86,Háttértáblák!$S$2:$T$334,2,0),VLOOKUP(F86,Háttértáblák!$U$2:$V$330,2,0)))),"")</f>
        <v/>
      </c>
      <c r="I86" s="97" t="str">
        <f t="shared" si="9"/>
        <v>_</v>
      </c>
      <c r="J86" s="97" t="e">
        <f>IF(#REF!="","",E86&amp;"_"&amp;IF(#REF!=0.5,"fél_év",#REF!))</f>
        <v>#REF!</v>
      </c>
      <c r="K86" s="97" t="str">
        <f>IF(E86="_2019_2020_ősz",VLOOKUP(F86,#REF!,4,0),IF(OR(E86="_2018_2019_ősz",E86="_2018_2019_keresztfélév"),VLOOKUP(F86,#REF!,4,0),IF(E86="_2017_2018_keresztfélév",VLOOKUP(F86,#REF!,4,0),IF(E86="_2017_2018_ősz",VLOOKUP(F86,#REF!,4,0),IF(OR(E86="_2016_2017_ősz",E86="_2016_2017_keresztfélév"),VLOOKUP(F86,#REF!,4,0),"HIBA!")))))</f>
        <v>HIBA!</v>
      </c>
      <c r="L86" s="143" t="e">
        <f>H86&amp;" "&amp;#REF!</f>
        <v>#REF!</v>
      </c>
      <c r="M86" s="136">
        <f>'Támogatás szorzat tényezői'!$C$19*('Támogatás szorzat tényezői'!$C$15/'Támogatás szorzat tényezői'!$C$14)</f>
        <v>240000</v>
      </c>
      <c r="N86" s="98">
        <f t="shared" si="10"/>
        <v>0</v>
      </c>
      <c r="O86" s="120">
        <f t="shared" si="11"/>
        <v>0</v>
      </c>
      <c r="P86" s="140"/>
      <c r="Q86" s="127">
        <f t="shared" si="12"/>
        <v>0</v>
      </c>
      <c r="R86" s="263" t="str">
        <f t="shared" si="13"/>
        <v/>
      </c>
    </row>
    <row r="87" spans="1:18" ht="30" customHeight="1" x14ac:dyDescent="0.25">
      <c r="A87" s="227"/>
      <c r="B87" s="235"/>
      <c r="C87" s="100"/>
      <c r="D87" s="100"/>
      <c r="E87" s="102"/>
      <c r="F87" s="100"/>
      <c r="G87" s="102"/>
      <c r="H87" s="97" t="str">
        <f>IFERROR(IF(E87="_2017_2018_ősz",VLOOKUP(F87,Háttértáblák!$L$2:$M$331,2,0),IF(E87="_2017_2018_keresztfélév",VLOOKUP(F87,Háttértáblák!$N$2:$O$326,2,0),IF(OR(E87="_2018_2019_ősz",E87="_2019_2020_ősz"),VLOOKUP(F87,Háttértáblák!$S$2:$T$334,2,0),VLOOKUP(F87,Háttértáblák!$U$2:$V$330,2,0)))),"")</f>
        <v/>
      </c>
      <c r="I87" s="97" t="str">
        <f t="shared" si="9"/>
        <v>_</v>
      </c>
      <c r="J87" s="97" t="e">
        <f>IF(#REF!="","",E87&amp;"_"&amp;IF(#REF!=0.5,"fél_év",#REF!))</f>
        <v>#REF!</v>
      </c>
      <c r="K87" s="97" t="str">
        <f>IF(E87="_2019_2020_ősz",VLOOKUP(F87,#REF!,4,0),IF(OR(E87="_2018_2019_ősz",E87="_2018_2019_keresztfélév"),VLOOKUP(F87,#REF!,4,0),IF(E87="_2017_2018_keresztfélév",VLOOKUP(F87,#REF!,4,0),IF(E87="_2017_2018_ősz",VLOOKUP(F87,#REF!,4,0),IF(OR(E87="_2016_2017_ősz",E87="_2016_2017_keresztfélév"),VLOOKUP(F87,#REF!,4,0),"HIBA!")))))</f>
        <v>HIBA!</v>
      </c>
      <c r="L87" s="143" t="e">
        <f>H87&amp;" "&amp;#REF!</f>
        <v>#REF!</v>
      </c>
      <c r="M87" s="136">
        <f>'Támogatás szorzat tényezői'!$C$19*('Támogatás szorzat tényezői'!$C$15/'Támogatás szorzat tényezői'!$C$14)</f>
        <v>240000</v>
      </c>
      <c r="N87" s="98">
        <f t="shared" si="10"/>
        <v>0</v>
      </c>
      <c r="O87" s="120">
        <f t="shared" si="11"/>
        <v>0</v>
      </c>
      <c r="P87" s="140"/>
      <c r="Q87" s="127">
        <f t="shared" si="12"/>
        <v>0</v>
      </c>
      <c r="R87" s="263" t="str">
        <f t="shared" si="13"/>
        <v/>
      </c>
    </row>
    <row r="88" spans="1:18" ht="30" customHeight="1" x14ac:dyDescent="0.25">
      <c r="A88" s="227"/>
      <c r="B88" s="235"/>
      <c r="C88" s="100"/>
      <c r="D88" s="100"/>
      <c r="E88" s="102"/>
      <c r="F88" s="100"/>
      <c r="G88" s="102"/>
      <c r="H88" s="97" t="str">
        <f>IFERROR(IF(E88="_2017_2018_ősz",VLOOKUP(F88,Háttértáblák!$L$2:$M$331,2,0),IF(E88="_2017_2018_keresztfélév",VLOOKUP(F88,Háttértáblák!$N$2:$O$326,2,0),IF(OR(E88="_2018_2019_ősz",E88="_2019_2020_ősz"),VLOOKUP(F88,Háttértáblák!$S$2:$T$334,2,0),VLOOKUP(F88,Háttértáblák!$U$2:$V$330,2,0)))),"")</f>
        <v/>
      </c>
      <c r="I88" s="97" t="str">
        <f t="shared" si="9"/>
        <v>_</v>
      </c>
      <c r="J88" s="97" t="e">
        <f>IF(#REF!="","",E88&amp;"_"&amp;IF(#REF!=0.5,"fél_év",#REF!))</f>
        <v>#REF!</v>
      </c>
      <c r="K88" s="97" t="str">
        <f>IF(E88="_2019_2020_ősz",VLOOKUP(F88,#REF!,4,0),IF(OR(E88="_2018_2019_ősz",E88="_2018_2019_keresztfélév"),VLOOKUP(F88,#REF!,4,0),IF(E88="_2017_2018_keresztfélév",VLOOKUP(F88,#REF!,4,0),IF(E88="_2017_2018_ősz",VLOOKUP(F88,#REF!,4,0),IF(OR(E88="_2016_2017_ősz",E88="_2016_2017_keresztfélév"),VLOOKUP(F88,#REF!,4,0),"HIBA!")))))</f>
        <v>HIBA!</v>
      </c>
      <c r="L88" s="143" t="e">
        <f>H88&amp;" "&amp;#REF!</f>
        <v>#REF!</v>
      </c>
      <c r="M88" s="136">
        <f>'Támogatás szorzat tényezői'!$C$19*('Támogatás szorzat tényezői'!$C$15/'Támogatás szorzat tényezői'!$C$14)</f>
        <v>240000</v>
      </c>
      <c r="N88" s="98">
        <f t="shared" si="10"/>
        <v>0</v>
      </c>
      <c r="O88" s="120">
        <f t="shared" si="11"/>
        <v>0</v>
      </c>
      <c r="P88" s="140"/>
      <c r="Q88" s="127">
        <f t="shared" si="12"/>
        <v>0</v>
      </c>
      <c r="R88" s="263" t="str">
        <f t="shared" si="13"/>
        <v/>
      </c>
    </row>
    <row r="89" spans="1:18" ht="30" customHeight="1" x14ac:dyDescent="0.25">
      <c r="A89" s="227"/>
      <c r="B89" s="235"/>
      <c r="C89" s="100"/>
      <c r="D89" s="100"/>
      <c r="E89" s="102"/>
      <c r="F89" s="100"/>
      <c r="G89" s="102"/>
      <c r="H89" s="97" t="str">
        <f>IFERROR(IF(E89="_2017_2018_ősz",VLOOKUP(F89,Háttértáblák!$L$2:$M$331,2,0),IF(E89="_2017_2018_keresztfélév",VLOOKUP(F89,Háttértáblák!$N$2:$O$326,2,0),IF(OR(E89="_2018_2019_ősz",E89="_2019_2020_ősz"),VLOOKUP(F89,Háttértáblák!$S$2:$T$334,2,0),VLOOKUP(F89,Háttértáblák!$U$2:$V$330,2,0)))),"")</f>
        <v/>
      </c>
      <c r="I89" s="97" t="str">
        <f t="shared" si="9"/>
        <v>_</v>
      </c>
      <c r="J89" s="97" t="e">
        <f>IF(#REF!="","",E89&amp;"_"&amp;IF(#REF!=0.5,"fél_év",#REF!))</f>
        <v>#REF!</v>
      </c>
      <c r="K89" s="97" t="str">
        <f>IF(E89="_2019_2020_ősz",VLOOKUP(F89,#REF!,4,0),IF(OR(E89="_2018_2019_ősz",E89="_2018_2019_keresztfélév"),VLOOKUP(F89,#REF!,4,0),IF(E89="_2017_2018_keresztfélév",VLOOKUP(F89,#REF!,4,0),IF(E89="_2017_2018_ősz",VLOOKUP(F89,#REF!,4,0),IF(OR(E89="_2016_2017_ősz",E89="_2016_2017_keresztfélév"),VLOOKUP(F89,#REF!,4,0),"HIBA!")))))</f>
        <v>HIBA!</v>
      </c>
      <c r="L89" s="143" t="e">
        <f>H89&amp;" "&amp;#REF!</f>
        <v>#REF!</v>
      </c>
      <c r="M89" s="136">
        <f>'Támogatás szorzat tényezői'!$C$19*('Támogatás szorzat tényezői'!$C$15/'Támogatás szorzat tényezői'!$C$14)</f>
        <v>240000</v>
      </c>
      <c r="N89" s="98">
        <f t="shared" si="10"/>
        <v>0</v>
      </c>
      <c r="O89" s="120">
        <f t="shared" si="11"/>
        <v>0</v>
      </c>
      <c r="P89" s="140"/>
      <c r="Q89" s="127">
        <f t="shared" si="12"/>
        <v>0</v>
      </c>
      <c r="R89" s="263" t="str">
        <f t="shared" si="13"/>
        <v/>
      </c>
    </row>
    <row r="90" spans="1:18" ht="30" customHeight="1" x14ac:dyDescent="0.25">
      <c r="A90" s="227"/>
      <c r="B90" s="235"/>
      <c r="C90" s="100"/>
      <c r="D90" s="100"/>
      <c r="E90" s="102"/>
      <c r="F90" s="100"/>
      <c r="G90" s="102"/>
      <c r="H90" s="97" t="str">
        <f>IFERROR(IF(E90="_2017_2018_ősz",VLOOKUP(F90,Háttértáblák!$L$2:$M$331,2,0),IF(E90="_2017_2018_keresztfélév",VLOOKUP(F90,Háttértáblák!$N$2:$O$326,2,0),IF(OR(E90="_2018_2019_ősz",E90="_2019_2020_ősz"),VLOOKUP(F90,Háttértáblák!$S$2:$T$334,2,0),VLOOKUP(F90,Háttértáblák!$U$2:$V$330,2,0)))),"")</f>
        <v/>
      </c>
      <c r="I90" s="97" t="str">
        <f t="shared" si="9"/>
        <v>_</v>
      </c>
      <c r="J90" s="97" t="e">
        <f>IF(#REF!="","",E90&amp;"_"&amp;IF(#REF!=0.5,"fél_év",#REF!))</f>
        <v>#REF!</v>
      </c>
      <c r="K90" s="97" t="str">
        <f>IF(E90="_2019_2020_ősz",VLOOKUP(F90,#REF!,4,0),IF(OR(E90="_2018_2019_ősz",E90="_2018_2019_keresztfélév"),VLOOKUP(F90,#REF!,4,0),IF(E90="_2017_2018_keresztfélév",VLOOKUP(F90,#REF!,4,0),IF(E90="_2017_2018_ősz",VLOOKUP(F90,#REF!,4,0),IF(OR(E90="_2016_2017_ősz",E90="_2016_2017_keresztfélév"),VLOOKUP(F90,#REF!,4,0),"HIBA!")))))</f>
        <v>HIBA!</v>
      </c>
      <c r="L90" s="143" t="e">
        <f>H90&amp;" "&amp;#REF!</f>
        <v>#REF!</v>
      </c>
      <c r="M90" s="136">
        <f>'Támogatás szorzat tényezői'!$C$19*('Támogatás szorzat tényezői'!$C$15/'Támogatás szorzat tényezői'!$C$14)</f>
        <v>240000</v>
      </c>
      <c r="N90" s="98">
        <f t="shared" si="10"/>
        <v>0</v>
      </c>
      <c r="O90" s="120">
        <f t="shared" si="11"/>
        <v>0</v>
      </c>
      <c r="P90" s="140"/>
      <c r="Q90" s="127">
        <f t="shared" si="12"/>
        <v>0</v>
      </c>
      <c r="R90" s="263" t="str">
        <f t="shared" si="13"/>
        <v/>
      </c>
    </row>
    <row r="91" spans="1:18" ht="30" customHeight="1" x14ac:dyDescent="0.25">
      <c r="A91" s="227"/>
      <c r="B91" s="235"/>
      <c r="C91" s="100"/>
      <c r="D91" s="100"/>
      <c r="E91" s="102"/>
      <c r="F91" s="100"/>
      <c r="G91" s="102"/>
      <c r="H91" s="97" t="str">
        <f>IFERROR(IF(E91="_2017_2018_ősz",VLOOKUP(F91,Háttértáblák!$L$2:$M$331,2,0),IF(E91="_2017_2018_keresztfélév",VLOOKUP(F91,Háttértáblák!$N$2:$O$326,2,0),IF(OR(E91="_2018_2019_ősz",E91="_2019_2020_ősz"),VLOOKUP(F91,Háttértáblák!$S$2:$T$334,2,0),VLOOKUP(F91,Háttértáblák!$U$2:$V$330,2,0)))),"")</f>
        <v/>
      </c>
      <c r="I91" s="97" t="str">
        <f t="shared" si="9"/>
        <v>_</v>
      </c>
      <c r="J91" s="97" t="e">
        <f>IF(#REF!="","",E91&amp;"_"&amp;IF(#REF!=0.5,"fél_év",#REF!))</f>
        <v>#REF!</v>
      </c>
      <c r="K91" s="97" t="str">
        <f>IF(E91="_2019_2020_ősz",VLOOKUP(F91,#REF!,4,0),IF(OR(E91="_2018_2019_ősz",E91="_2018_2019_keresztfélév"),VLOOKUP(F91,#REF!,4,0),IF(E91="_2017_2018_keresztfélév",VLOOKUP(F91,#REF!,4,0),IF(E91="_2017_2018_ősz",VLOOKUP(F91,#REF!,4,0),IF(OR(E91="_2016_2017_ősz",E91="_2016_2017_keresztfélév"),VLOOKUP(F91,#REF!,4,0),"HIBA!")))))</f>
        <v>HIBA!</v>
      </c>
      <c r="L91" s="143" t="e">
        <f>H91&amp;" "&amp;#REF!</f>
        <v>#REF!</v>
      </c>
      <c r="M91" s="136">
        <f>'Támogatás szorzat tényezői'!$C$19*('Támogatás szorzat tényezői'!$C$15/'Támogatás szorzat tényezői'!$C$14)</f>
        <v>240000</v>
      </c>
      <c r="N91" s="98">
        <f t="shared" si="10"/>
        <v>0</v>
      </c>
      <c r="O91" s="120">
        <f t="shared" si="11"/>
        <v>0</v>
      </c>
      <c r="P91" s="140"/>
      <c r="Q91" s="127">
        <f t="shared" si="12"/>
        <v>0</v>
      </c>
      <c r="R91" s="263" t="str">
        <f t="shared" si="13"/>
        <v/>
      </c>
    </row>
    <row r="92" spans="1:18" ht="30" customHeight="1" x14ac:dyDescent="0.25">
      <c r="A92" s="227"/>
      <c r="B92" s="235"/>
      <c r="C92" s="100"/>
      <c r="D92" s="100"/>
      <c r="E92" s="102"/>
      <c r="F92" s="100"/>
      <c r="G92" s="102"/>
      <c r="H92" s="97" t="str">
        <f>IFERROR(IF(E92="_2017_2018_ősz",VLOOKUP(F92,Háttértáblák!$L$2:$M$331,2,0),IF(E92="_2017_2018_keresztfélév",VLOOKUP(F92,Háttértáblák!$N$2:$O$326,2,0),IF(OR(E92="_2018_2019_ősz",E92="_2019_2020_ősz"),VLOOKUP(F92,Háttértáblák!$S$2:$T$334,2,0),VLOOKUP(F92,Háttértáblák!$U$2:$V$330,2,0)))),"")</f>
        <v/>
      </c>
      <c r="I92" s="97" t="str">
        <f t="shared" si="9"/>
        <v>_</v>
      </c>
      <c r="J92" s="97" t="e">
        <f>IF(#REF!="","",E92&amp;"_"&amp;IF(#REF!=0.5,"fél_év",#REF!))</f>
        <v>#REF!</v>
      </c>
      <c r="K92" s="97" t="str">
        <f>IF(E92="_2019_2020_ősz",VLOOKUP(F92,#REF!,4,0),IF(OR(E92="_2018_2019_ősz",E92="_2018_2019_keresztfélév"),VLOOKUP(F92,#REF!,4,0),IF(E92="_2017_2018_keresztfélév",VLOOKUP(F92,#REF!,4,0),IF(E92="_2017_2018_ősz",VLOOKUP(F92,#REF!,4,0),IF(OR(E92="_2016_2017_ősz",E92="_2016_2017_keresztfélév"),VLOOKUP(F92,#REF!,4,0),"HIBA!")))))</f>
        <v>HIBA!</v>
      </c>
      <c r="L92" s="143" t="e">
        <f>H92&amp;" "&amp;#REF!</f>
        <v>#REF!</v>
      </c>
      <c r="M92" s="136">
        <f>'Támogatás szorzat tényezői'!$C$19*('Támogatás szorzat tényezői'!$C$15/'Támogatás szorzat tényezői'!$C$14)</f>
        <v>240000</v>
      </c>
      <c r="N92" s="98">
        <f t="shared" si="10"/>
        <v>0</v>
      </c>
      <c r="O92" s="120">
        <f t="shared" si="11"/>
        <v>0</v>
      </c>
      <c r="P92" s="140"/>
      <c r="Q92" s="127">
        <f t="shared" si="12"/>
        <v>0</v>
      </c>
      <c r="R92" s="263" t="str">
        <f t="shared" si="13"/>
        <v/>
      </c>
    </row>
    <row r="93" spans="1:18" ht="30" customHeight="1" x14ac:dyDescent="0.25">
      <c r="A93" s="227"/>
      <c r="B93" s="235"/>
      <c r="C93" s="100"/>
      <c r="D93" s="100"/>
      <c r="E93" s="102"/>
      <c r="F93" s="100"/>
      <c r="G93" s="102"/>
      <c r="H93" s="97" t="str">
        <f>IFERROR(IF(E93="_2017_2018_ősz",VLOOKUP(F93,Háttértáblák!$L$2:$M$331,2,0),IF(E93="_2017_2018_keresztfélév",VLOOKUP(F93,Háttértáblák!$N$2:$O$326,2,0),IF(OR(E93="_2018_2019_ősz",E93="_2019_2020_ősz"),VLOOKUP(F93,Háttértáblák!$S$2:$T$334,2,0),VLOOKUP(F93,Háttértáblák!$U$2:$V$330,2,0)))),"")</f>
        <v/>
      </c>
      <c r="I93" s="97" t="str">
        <f t="shared" si="9"/>
        <v>_</v>
      </c>
      <c r="J93" s="97" t="e">
        <f>IF(#REF!="","",E93&amp;"_"&amp;IF(#REF!=0.5,"fél_év",#REF!))</f>
        <v>#REF!</v>
      </c>
      <c r="K93" s="97" t="str">
        <f>IF(E93="_2019_2020_ősz",VLOOKUP(F93,#REF!,4,0),IF(OR(E93="_2018_2019_ősz",E93="_2018_2019_keresztfélév"),VLOOKUP(F93,#REF!,4,0),IF(E93="_2017_2018_keresztfélév",VLOOKUP(F93,#REF!,4,0),IF(E93="_2017_2018_ősz",VLOOKUP(F93,#REF!,4,0),IF(OR(E93="_2016_2017_ősz",E93="_2016_2017_keresztfélév"),VLOOKUP(F93,#REF!,4,0),"HIBA!")))))</f>
        <v>HIBA!</v>
      </c>
      <c r="L93" s="143" t="e">
        <f>H93&amp;" "&amp;#REF!</f>
        <v>#REF!</v>
      </c>
      <c r="M93" s="136">
        <f>'Támogatás szorzat tényezői'!$C$19*('Támogatás szorzat tényezői'!$C$15/'Támogatás szorzat tényezői'!$C$14)</f>
        <v>240000</v>
      </c>
      <c r="N93" s="98">
        <f t="shared" si="10"/>
        <v>0</v>
      </c>
      <c r="O93" s="120">
        <f t="shared" si="11"/>
        <v>0</v>
      </c>
      <c r="P93" s="140"/>
      <c r="Q93" s="127">
        <f t="shared" si="12"/>
        <v>0</v>
      </c>
      <c r="R93" s="263" t="str">
        <f t="shared" si="13"/>
        <v/>
      </c>
    </row>
    <row r="94" spans="1:18" ht="30" customHeight="1" x14ac:dyDescent="0.25">
      <c r="A94" s="227"/>
      <c r="B94" s="235"/>
      <c r="C94" s="100"/>
      <c r="D94" s="100"/>
      <c r="E94" s="102"/>
      <c r="F94" s="100"/>
      <c r="G94" s="102"/>
      <c r="H94" s="97" t="str">
        <f>IFERROR(IF(E94="_2017_2018_ősz",VLOOKUP(F94,Háttértáblák!$L$2:$M$331,2,0),IF(E94="_2017_2018_keresztfélév",VLOOKUP(F94,Háttértáblák!$N$2:$O$326,2,0),IF(OR(E94="_2018_2019_ősz",E94="_2019_2020_ősz"),VLOOKUP(F94,Háttértáblák!$S$2:$T$334,2,0),VLOOKUP(F94,Háttértáblák!$U$2:$V$330,2,0)))),"")</f>
        <v/>
      </c>
      <c r="I94" s="97" t="str">
        <f t="shared" si="9"/>
        <v>_</v>
      </c>
      <c r="J94" s="97" t="e">
        <f>IF(#REF!="","",E94&amp;"_"&amp;IF(#REF!=0.5,"fél_év",#REF!))</f>
        <v>#REF!</v>
      </c>
      <c r="K94" s="97" t="str">
        <f>IF(E94="_2019_2020_ősz",VLOOKUP(F94,#REF!,4,0),IF(OR(E94="_2018_2019_ősz",E94="_2018_2019_keresztfélév"),VLOOKUP(F94,#REF!,4,0),IF(E94="_2017_2018_keresztfélév",VLOOKUP(F94,#REF!,4,0),IF(E94="_2017_2018_ősz",VLOOKUP(F94,#REF!,4,0),IF(OR(E94="_2016_2017_ősz",E94="_2016_2017_keresztfélév"),VLOOKUP(F94,#REF!,4,0),"HIBA!")))))</f>
        <v>HIBA!</v>
      </c>
      <c r="L94" s="143" t="e">
        <f>H94&amp;" "&amp;#REF!</f>
        <v>#REF!</v>
      </c>
      <c r="M94" s="136">
        <f>'Támogatás szorzat tényezői'!$C$19*('Támogatás szorzat tényezői'!$C$15/'Támogatás szorzat tényezői'!$C$14)</f>
        <v>240000</v>
      </c>
      <c r="N94" s="98">
        <f t="shared" si="10"/>
        <v>0</v>
      </c>
      <c r="O94" s="120">
        <f t="shared" si="11"/>
        <v>0</v>
      </c>
      <c r="P94" s="140"/>
      <c r="Q94" s="127">
        <f t="shared" si="12"/>
        <v>0</v>
      </c>
      <c r="R94" s="263" t="str">
        <f t="shared" si="13"/>
        <v/>
      </c>
    </row>
    <row r="95" spans="1:18" ht="30" customHeight="1" x14ac:dyDescent="0.25">
      <c r="A95" s="227"/>
      <c r="B95" s="235"/>
      <c r="C95" s="100"/>
      <c r="D95" s="100"/>
      <c r="E95" s="102"/>
      <c r="F95" s="100"/>
      <c r="G95" s="102"/>
      <c r="H95" s="97" t="str">
        <f>IFERROR(IF(E95="_2017_2018_ősz",VLOOKUP(F95,Háttértáblák!$L$2:$M$331,2,0),IF(E95="_2017_2018_keresztfélév",VLOOKUP(F95,Háttértáblák!$N$2:$O$326,2,0),IF(OR(E95="_2018_2019_ősz",E95="_2019_2020_ősz"),VLOOKUP(F95,Háttértáblák!$S$2:$T$334,2,0),VLOOKUP(F95,Háttértáblák!$U$2:$V$330,2,0)))),"")</f>
        <v/>
      </c>
      <c r="I95" s="97" t="str">
        <f t="shared" si="9"/>
        <v>_</v>
      </c>
      <c r="J95" s="97" t="e">
        <f>IF(#REF!="","",E95&amp;"_"&amp;IF(#REF!=0.5,"fél_év",#REF!))</f>
        <v>#REF!</v>
      </c>
      <c r="K95" s="97" t="str">
        <f>IF(E95="_2019_2020_ősz",VLOOKUP(F95,#REF!,4,0),IF(OR(E95="_2018_2019_ősz",E95="_2018_2019_keresztfélév"),VLOOKUP(F95,#REF!,4,0),IF(E95="_2017_2018_keresztfélév",VLOOKUP(F95,#REF!,4,0),IF(E95="_2017_2018_ősz",VLOOKUP(F95,#REF!,4,0),IF(OR(E95="_2016_2017_ősz",E95="_2016_2017_keresztfélév"),VLOOKUP(F95,#REF!,4,0),"HIBA!")))))</f>
        <v>HIBA!</v>
      </c>
      <c r="L95" s="143" t="e">
        <f>H95&amp;" "&amp;#REF!</f>
        <v>#REF!</v>
      </c>
      <c r="M95" s="136">
        <f>'Támogatás szorzat tényezői'!$C$19*('Támogatás szorzat tényezői'!$C$15/'Támogatás szorzat tényezői'!$C$14)</f>
        <v>240000</v>
      </c>
      <c r="N95" s="98">
        <f t="shared" si="10"/>
        <v>0</v>
      </c>
      <c r="O95" s="120">
        <f t="shared" si="11"/>
        <v>0</v>
      </c>
      <c r="P95" s="140"/>
      <c r="Q95" s="127">
        <f t="shared" si="12"/>
        <v>0</v>
      </c>
      <c r="R95" s="263" t="str">
        <f t="shared" si="13"/>
        <v/>
      </c>
    </row>
    <row r="96" spans="1:18" ht="30" customHeight="1" x14ac:dyDescent="0.25">
      <c r="A96" s="227"/>
      <c r="B96" s="235"/>
      <c r="C96" s="100"/>
      <c r="D96" s="100"/>
      <c r="E96" s="102"/>
      <c r="F96" s="100"/>
      <c r="G96" s="102"/>
      <c r="H96" s="97" t="str">
        <f>IFERROR(IF(E96="_2017_2018_ősz",VLOOKUP(F96,Háttértáblák!$L$2:$M$331,2,0),IF(E96="_2017_2018_keresztfélév",VLOOKUP(F96,Háttértáblák!$N$2:$O$326,2,0),IF(OR(E96="_2018_2019_ősz",E96="_2019_2020_ősz"),VLOOKUP(F96,Háttértáblák!$S$2:$T$334,2,0),VLOOKUP(F96,Háttértáblák!$U$2:$V$330,2,0)))),"")</f>
        <v/>
      </c>
      <c r="I96" s="97" t="str">
        <f t="shared" si="9"/>
        <v>_</v>
      </c>
      <c r="J96" s="97" t="e">
        <f>IF(#REF!="","",E96&amp;"_"&amp;IF(#REF!=0.5,"fél_év",#REF!))</f>
        <v>#REF!</v>
      </c>
      <c r="K96" s="97" t="str">
        <f>IF(E96="_2019_2020_ősz",VLOOKUP(F96,#REF!,4,0),IF(OR(E96="_2018_2019_ősz",E96="_2018_2019_keresztfélév"),VLOOKUP(F96,#REF!,4,0),IF(E96="_2017_2018_keresztfélév",VLOOKUP(F96,#REF!,4,0),IF(E96="_2017_2018_ősz",VLOOKUP(F96,#REF!,4,0),IF(OR(E96="_2016_2017_ősz",E96="_2016_2017_keresztfélév"),VLOOKUP(F96,#REF!,4,0),"HIBA!")))))</f>
        <v>HIBA!</v>
      </c>
      <c r="L96" s="143" t="e">
        <f>H96&amp;" "&amp;#REF!</f>
        <v>#REF!</v>
      </c>
      <c r="M96" s="136">
        <f>'Támogatás szorzat tényezői'!$C$19*('Támogatás szorzat tényezői'!$C$15/'Támogatás szorzat tényezői'!$C$14)</f>
        <v>240000</v>
      </c>
      <c r="N96" s="98">
        <f t="shared" si="10"/>
        <v>0</v>
      </c>
      <c r="O96" s="120">
        <f t="shared" si="11"/>
        <v>0</v>
      </c>
      <c r="P96" s="140"/>
      <c r="Q96" s="127">
        <f t="shared" si="12"/>
        <v>0</v>
      </c>
      <c r="R96" s="263" t="str">
        <f t="shared" si="13"/>
        <v/>
      </c>
    </row>
    <row r="97" spans="1:18" ht="30" customHeight="1" x14ac:dyDescent="0.25">
      <c r="A97" s="227"/>
      <c r="B97" s="235"/>
      <c r="C97" s="100"/>
      <c r="D97" s="100"/>
      <c r="E97" s="102"/>
      <c r="F97" s="100"/>
      <c r="G97" s="102"/>
      <c r="H97" s="97" t="str">
        <f>IFERROR(IF(E97="_2017_2018_ősz",VLOOKUP(F97,Háttértáblák!$L$2:$M$331,2,0),IF(E97="_2017_2018_keresztfélév",VLOOKUP(F97,Háttértáblák!$N$2:$O$326,2,0),IF(OR(E97="_2018_2019_ősz",E97="_2019_2020_ősz"),VLOOKUP(F97,Háttértáblák!$S$2:$T$334,2,0),VLOOKUP(F97,Háttértáblák!$U$2:$V$330,2,0)))),"")</f>
        <v/>
      </c>
      <c r="I97" s="97" t="str">
        <f t="shared" si="9"/>
        <v>_</v>
      </c>
      <c r="J97" s="97" t="e">
        <f>IF(#REF!="","",E97&amp;"_"&amp;IF(#REF!=0.5,"fél_év",#REF!))</f>
        <v>#REF!</v>
      </c>
      <c r="K97" s="97" t="str">
        <f>IF(E97="_2019_2020_ősz",VLOOKUP(F97,#REF!,4,0),IF(OR(E97="_2018_2019_ősz",E97="_2018_2019_keresztfélév"),VLOOKUP(F97,#REF!,4,0),IF(E97="_2017_2018_keresztfélév",VLOOKUP(F97,#REF!,4,0),IF(E97="_2017_2018_ősz",VLOOKUP(F97,#REF!,4,0),IF(OR(E97="_2016_2017_ősz",E97="_2016_2017_keresztfélév"),VLOOKUP(F97,#REF!,4,0),"HIBA!")))))</f>
        <v>HIBA!</v>
      </c>
      <c r="L97" s="143" t="e">
        <f>H97&amp;" "&amp;#REF!</f>
        <v>#REF!</v>
      </c>
      <c r="M97" s="136">
        <f>'Támogatás szorzat tényezői'!$C$19*('Támogatás szorzat tényezői'!$C$15/'Támogatás szorzat tényezői'!$C$14)</f>
        <v>240000</v>
      </c>
      <c r="N97" s="98">
        <f t="shared" si="10"/>
        <v>0</v>
      </c>
      <c r="O97" s="120">
        <f t="shared" si="11"/>
        <v>0</v>
      </c>
      <c r="P97" s="140"/>
      <c r="Q97" s="127">
        <f t="shared" si="12"/>
        <v>0</v>
      </c>
      <c r="R97" s="263" t="str">
        <f t="shared" si="13"/>
        <v/>
      </c>
    </row>
    <row r="98" spans="1:18" ht="30" customHeight="1" x14ac:dyDescent="0.25">
      <c r="A98" s="227"/>
      <c r="B98" s="235"/>
      <c r="C98" s="100"/>
      <c r="D98" s="100"/>
      <c r="E98" s="102"/>
      <c r="F98" s="100"/>
      <c r="G98" s="102"/>
      <c r="H98" s="97" t="str">
        <f>IFERROR(IF(E98="_2017_2018_ősz",VLOOKUP(F98,Háttértáblák!$L$2:$M$331,2,0),IF(E98="_2017_2018_keresztfélév",VLOOKUP(F98,Háttértáblák!$N$2:$O$326,2,0),IF(OR(E98="_2018_2019_ősz",E98="_2019_2020_ősz"),VLOOKUP(F98,Háttértáblák!$S$2:$T$334,2,0),VLOOKUP(F98,Háttértáblák!$U$2:$V$330,2,0)))),"")</f>
        <v/>
      </c>
      <c r="I98" s="97" t="str">
        <f t="shared" si="9"/>
        <v>_</v>
      </c>
      <c r="J98" s="97" t="e">
        <f>IF(#REF!="","",E98&amp;"_"&amp;IF(#REF!=0.5,"fél_év",#REF!))</f>
        <v>#REF!</v>
      </c>
      <c r="K98" s="97" t="str">
        <f>IF(E98="_2019_2020_ősz",VLOOKUP(F98,#REF!,4,0),IF(OR(E98="_2018_2019_ősz",E98="_2018_2019_keresztfélév"),VLOOKUP(F98,#REF!,4,0),IF(E98="_2017_2018_keresztfélév",VLOOKUP(F98,#REF!,4,0),IF(E98="_2017_2018_ősz",VLOOKUP(F98,#REF!,4,0),IF(OR(E98="_2016_2017_ősz",E98="_2016_2017_keresztfélév"),VLOOKUP(F98,#REF!,4,0),"HIBA!")))))</f>
        <v>HIBA!</v>
      </c>
      <c r="L98" s="143" t="e">
        <f>H98&amp;" "&amp;#REF!</f>
        <v>#REF!</v>
      </c>
      <c r="M98" s="136">
        <f>'Támogatás szorzat tényezői'!$C$19*('Támogatás szorzat tényezői'!$C$15/'Támogatás szorzat tényezői'!$C$14)</f>
        <v>240000</v>
      </c>
      <c r="N98" s="98">
        <f t="shared" si="10"/>
        <v>0</v>
      </c>
      <c r="O98" s="120">
        <f t="shared" si="11"/>
        <v>0</v>
      </c>
      <c r="P98" s="140"/>
      <c r="Q98" s="127">
        <f t="shared" si="12"/>
        <v>0</v>
      </c>
      <c r="R98" s="263" t="str">
        <f t="shared" si="13"/>
        <v/>
      </c>
    </row>
    <row r="99" spans="1:18" ht="30" customHeight="1" x14ac:dyDescent="0.25">
      <c r="A99" s="227"/>
      <c r="B99" s="235"/>
      <c r="C99" s="100"/>
      <c r="D99" s="100"/>
      <c r="E99" s="102"/>
      <c r="F99" s="100"/>
      <c r="G99" s="102"/>
      <c r="H99" s="97" t="str">
        <f>IFERROR(IF(E99="_2017_2018_ősz",VLOOKUP(F99,Háttértáblák!$L$2:$M$331,2,0),IF(E99="_2017_2018_keresztfélév",VLOOKUP(F99,Háttértáblák!$N$2:$O$326,2,0),IF(OR(E99="_2018_2019_ősz",E99="_2019_2020_ősz"),VLOOKUP(F99,Háttértáblák!$S$2:$T$334,2,0),VLOOKUP(F99,Háttértáblák!$U$2:$V$330,2,0)))),"")</f>
        <v/>
      </c>
      <c r="I99" s="97" t="str">
        <f t="shared" si="9"/>
        <v>_</v>
      </c>
      <c r="J99" s="97" t="e">
        <f>IF(#REF!="","",E99&amp;"_"&amp;IF(#REF!=0.5,"fél_év",#REF!))</f>
        <v>#REF!</v>
      </c>
      <c r="K99" s="97" t="str">
        <f>IF(E99="_2019_2020_ősz",VLOOKUP(F99,#REF!,4,0),IF(OR(E99="_2018_2019_ősz",E99="_2018_2019_keresztfélév"),VLOOKUP(F99,#REF!,4,0),IF(E99="_2017_2018_keresztfélév",VLOOKUP(F99,#REF!,4,0),IF(E99="_2017_2018_ősz",VLOOKUP(F99,#REF!,4,0),IF(OR(E99="_2016_2017_ősz",E99="_2016_2017_keresztfélév"),VLOOKUP(F99,#REF!,4,0),"HIBA!")))))</f>
        <v>HIBA!</v>
      </c>
      <c r="L99" s="143" t="e">
        <f>H99&amp;" "&amp;#REF!</f>
        <v>#REF!</v>
      </c>
      <c r="M99" s="136">
        <f>'Támogatás szorzat tényezői'!$C$19*('Támogatás szorzat tényezői'!$C$15/'Támogatás szorzat tényezői'!$C$14)</f>
        <v>240000</v>
      </c>
      <c r="N99" s="98">
        <f t="shared" si="10"/>
        <v>0</v>
      </c>
      <c r="O99" s="120">
        <f t="shared" si="11"/>
        <v>0</v>
      </c>
      <c r="P99" s="140"/>
      <c r="Q99" s="127">
        <f t="shared" si="12"/>
        <v>0</v>
      </c>
      <c r="R99" s="263" t="str">
        <f t="shared" si="13"/>
        <v/>
      </c>
    </row>
    <row r="100" spans="1:18" ht="30" customHeight="1" x14ac:dyDescent="0.25">
      <c r="A100" s="227"/>
      <c r="B100" s="235"/>
      <c r="C100" s="100"/>
      <c r="D100" s="100"/>
      <c r="E100" s="102"/>
      <c r="F100" s="100"/>
      <c r="G100" s="102"/>
      <c r="H100" s="97" t="str">
        <f>IFERROR(IF(E100="_2017_2018_ősz",VLOOKUP(F100,Háttértáblák!$L$2:$M$331,2,0),IF(E100="_2017_2018_keresztfélév",VLOOKUP(F100,Háttértáblák!$N$2:$O$326,2,0),IF(OR(E100="_2018_2019_ősz",E100="_2019_2020_ősz"),VLOOKUP(F100,Háttértáblák!$S$2:$T$334,2,0),VLOOKUP(F100,Háttértáblák!$U$2:$V$330,2,0)))),"")</f>
        <v/>
      </c>
      <c r="I100" s="97" t="str">
        <f t="shared" si="9"/>
        <v>_</v>
      </c>
      <c r="J100" s="97" t="e">
        <f>IF(#REF!="","",E100&amp;"_"&amp;IF(#REF!=0.5,"fél_év",#REF!))</f>
        <v>#REF!</v>
      </c>
      <c r="K100" s="97" t="str">
        <f>IF(E100="_2019_2020_ősz",VLOOKUP(F100,#REF!,4,0),IF(OR(E100="_2018_2019_ősz",E100="_2018_2019_keresztfélév"),VLOOKUP(F100,#REF!,4,0),IF(E100="_2017_2018_keresztfélév",VLOOKUP(F100,#REF!,4,0),IF(E100="_2017_2018_ősz",VLOOKUP(F100,#REF!,4,0),IF(OR(E100="_2016_2017_ősz",E100="_2016_2017_keresztfélév"),VLOOKUP(F100,#REF!,4,0),"HIBA!")))))</f>
        <v>HIBA!</v>
      </c>
      <c r="L100" s="143" t="e">
        <f>H100&amp;" "&amp;#REF!</f>
        <v>#REF!</v>
      </c>
      <c r="M100" s="136">
        <f>'Támogatás szorzat tényezői'!$C$19*('Támogatás szorzat tényezői'!$C$15/'Támogatás szorzat tényezői'!$C$14)</f>
        <v>240000</v>
      </c>
      <c r="N100" s="98">
        <f t="shared" si="10"/>
        <v>0</v>
      </c>
      <c r="O100" s="120">
        <f t="shared" si="11"/>
        <v>0</v>
      </c>
      <c r="P100" s="140"/>
      <c r="Q100" s="127">
        <f t="shared" si="12"/>
        <v>0</v>
      </c>
      <c r="R100" s="263" t="str">
        <f t="shared" si="13"/>
        <v/>
      </c>
    </row>
    <row r="101" spans="1:18" ht="30" customHeight="1" x14ac:dyDescent="0.25">
      <c r="A101" s="227"/>
      <c r="B101" s="235"/>
      <c r="C101" s="100"/>
      <c r="D101" s="100"/>
      <c r="E101" s="102"/>
      <c r="F101" s="100"/>
      <c r="G101" s="102"/>
      <c r="H101" s="97" t="str">
        <f>IFERROR(IF(E101="_2017_2018_ősz",VLOOKUP(F101,Háttértáblák!$L$2:$M$331,2,0),IF(E101="_2017_2018_keresztfélév",VLOOKUP(F101,Háttértáblák!$N$2:$O$326,2,0),IF(OR(E101="_2018_2019_ősz",E101="_2019_2020_ősz"),VLOOKUP(F101,Háttértáblák!$S$2:$T$334,2,0),VLOOKUP(F101,Háttértáblák!$U$2:$V$330,2,0)))),"")</f>
        <v/>
      </c>
      <c r="I101" s="97" t="str">
        <f t="shared" si="9"/>
        <v>_</v>
      </c>
      <c r="J101" s="97" t="e">
        <f>IF(#REF!="","",E101&amp;"_"&amp;IF(#REF!=0.5,"fél_év",#REF!))</f>
        <v>#REF!</v>
      </c>
      <c r="K101" s="97" t="str">
        <f>IF(E101="_2019_2020_ősz",VLOOKUP(F101,#REF!,4,0),IF(OR(E101="_2018_2019_ősz",E101="_2018_2019_keresztfélév"),VLOOKUP(F101,#REF!,4,0),IF(E101="_2017_2018_keresztfélév",VLOOKUP(F101,#REF!,4,0),IF(E101="_2017_2018_ősz",VLOOKUP(F101,#REF!,4,0),IF(OR(E101="_2016_2017_ősz",E101="_2016_2017_keresztfélév"),VLOOKUP(F101,#REF!,4,0),"HIBA!")))))</f>
        <v>HIBA!</v>
      </c>
      <c r="L101" s="143" t="e">
        <f>H101&amp;" "&amp;#REF!</f>
        <v>#REF!</v>
      </c>
      <c r="M101" s="136">
        <f>'Támogatás szorzat tényezői'!$C$19*('Támogatás szorzat tényezői'!$C$15/'Támogatás szorzat tényezői'!$C$14)</f>
        <v>240000</v>
      </c>
      <c r="N101" s="98">
        <f t="shared" si="10"/>
        <v>0</v>
      </c>
      <c r="O101" s="120">
        <f t="shared" si="11"/>
        <v>0</v>
      </c>
      <c r="P101" s="140"/>
      <c r="Q101" s="127">
        <f t="shared" si="12"/>
        <v>0</v>
      </c>
      <c r="R101" s="263" t="str">
        <f t="shared" si="13"/>
        <v/>
      </c>
    </row>
    <row r="102" spans="1:18" ht="30" customHeight="1" x14ac:dyDescent="0.25">
      <c r="A102" s="227"/>
      <c r="B102" s="235"/>
      <c r="C102" s="100"/>
      <c r="D102" s="100"/>
      <c r="E102" s="102"/>
      <c r="F102" s="100"/>
      <c r="G102" s="102"/>
      <c r="H102" s="97" t="str">
        <f>IFERROR(IF(E102="_2017_2018_ősz",VLOOKUP(F102,Háttértáblák!$L$2:$M$331,2,0),IF(E102="_2017_2018_keresztfélév",VLOOKUP(F102,Háttértáblák!$N$2:$O$326,2,0),IF(OR(E102="_2018_2019_ősz",E102="_2019_2020_ősz"),VLOOKUP(F102,Háttértáblák!$S$2:$T$334,2,0),VLOOKUP(F102,Háttértáblák!$U$2:$V$330,2,0)))),"")</f>
        <v/>
      </c>
      <c r="I102" s="97" t="str">
        <f t="shared" si="9"/>
        <v>_</v>
      </c>
      <c r="J102" s="97" t="e">
        <f>IF(#REF!="","",E102&amp;"_"&amp;IF(#REF!=0.5,"fél_év",#REF!))</f>
        <v>#REF!</v>
      </c>
      <c r="K102" s="97" t="str">
        <f>IF(E102="_2019_2020_ősz",VLOOKUP(F102,#REF!,4,0),IF(OR(E102="_2018_2019_ősz",E102="_2018_2019_keresztfélév"),VLOOKUP(F102,#REF!,4,0),IF(E102="_2017_2018_keresztfélév",VLOOKUP(F102,#REF!,4,0),IF(E102="_2017_2018_ősz",VLOOKUP(F102,#REF!,4,0),IF(OR(E102="_2016_2017_ősz",E102="_2016_2017_keresztfélév"),VLOOKUP(F102,#REF!,4,0),"HIBA!")))))</f>
        <v>HIBA!</v>
      </c>
      <c r="L102" s="143" t="e">
        <f>H102&amp;" "&amp;#REF!</f>
        <v>#REF!</v>
      </c>
      <c r="M102" s="136">
        <f>'Támogatás szorzat tényezői'!$C$19*('Támogatás szorzat tényezői'!$C$15/'Támogatás szorzat tényezői'!$C$14)</f>
        <v>240000</v>
      </c>
      <c r="N102" s="98">
        <f t="shared" si="10"/>
        <v>0</v>
      </c>
      <c r="O102" s="120">
        <f t="shared" si="11"/>
        <v>0</v>
      </c>
      <c r="P102" s="140"/>
      <c r="Q102" s="127">
        <f t="shared" si="12"/>
        <v>0</v>
      </c>
      <c r="R102" s="263" t="str">
        <f t="shared" si="13"/>
        <v/>
      </c>
    </row>
    <row r="103" spans="1:18" ht="30" customHeight="1" x14ac:dyDescent="0.25">
      <c r="A103" s="227"/>
      <c r="B103" s="235"/>
      <c r="C103" s="100"/>
      <c r="D103" s="100"/>
      <c r="E103" s="102"/>
      <c r="F103" s="100"/>
      <c r="G103" s="102"/>
      <c r="H103" s="97" t="str">
        <f>IFERROR(IF(E103="_2017_2018_ősz",VLOOKUP(F103,Háttértáblák!$L$2:$M$331,2,0),IF(E103="_2017_2018_keresztfélév",VLOOKUP(F103,Háttértáblák!$N$2:$O$326,2,0),IF(OR(E103="_2018_2019_ősz",E103="_2019_2020_ősz"),VLOOKUP(F103,Háttértáblák!$S$2:$T$334,2,0),VLOOKUP(F103,Háttértáblák!$U$2:$V$330,2,0)))),"")</f>
        <v/>
      </c>
      <c r="I103" s="97" t="str">
        <f t="shared" si="9"/>
        <v>_</v>
      </c>
      <c r="J103" s="97" t="e">
        <f>IF(#REF!="","",E103&amp;"_"&amp;IF(#REF!=0.5,"fél_év",#REF!))</f>
        <v>#REF!</v>
      </c>
      <c r="K103" s="97" t="str">
        <f>IF(E103="_2019_2020_ősz",VLOOKUP(F103,#REF!,4,0),IF(OR(E103="_2018_2019_ősz",E103="_2018_2019_keresztfélév"),VLOOKUP(F103,#REF!,4,0),IF(E103="_2017_2018_keresztfélév",VLOOKUP(F103,#REF!,4,0),IF(E103="_2017_2018_ősz",VLOOKUP(F103,#REF!,4,0),IF(OR(E103="_2016_2017_ősz",E103="_2016_2017_keresztfélév"),VLOOKUP(F103,#REF!,4,0),"HIBA!")))))</f>
        <v>HIBA!</v>
      </c>
      <c r="L103" s="143" t="e">
        <f>H103&amp;" "&amp;#REF!</f>
        <v>#REF!</v>
      </c>
      <c r="M103" s="136">
        <f>'Támogatás szorzat tényezői'!$C$19*('Támogatás szorzat tényezői'!$C$15/'Támogatás szorzat tényezői'!$C$14)</f>
        <v>240000</v>
      </c>
      <c r="N103" s="98">
        <f t="shared" si="10"/>
        <v>0</v>
      </c>
      <c r="O103" s="120">
        <f t="shared" si="11"/>
        <v>0</v>
      </c>
      <c r="P103" s="140"/>
      <c r="Q103" s="127">
        <f t="shared" si="12"/>
        <v>0</v>
      </c>
      <c r="R103" s="263" t="str">
        <f t="shared" si="13"/>
        <v/>
      </c>
    </row>
    <row r="104" spans="1:18" x14ac:dyDescent="0.25"/>
    <row r="105" spans="1:18" x14ac:dyDescent="0.25"/>
    <row r="106" spans="1:18" x14ac:dyDescent="0.25"/>
    <row r="107" spans="1:18" x14ac:dyDescent="0.25"/>
    <row r="108" spans="1:18" x14ac:dyDescent="0.25"/>
    <row r="109" spans="1:18" x14ac:dyDescent="0.25"/>
    <row r="110" spans="1:18" x14ac:dyDescent="0.25"/>
    <row r="111" spans="1:18" x14ac:dyDescent="0.25"/>
    <row r="112" spans="1:18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  <row r="1003" x14ac:dyDescent="0.25"/>
    <row r="1004" x14ac:dyDescent="0.25"/>
    <row r="1005" x14ac:dyDescent="0.25"/>
    <row r="1006" x14ac:dyDescent="0.25"/>
    <row r="1007" x14ac:dyDescent="0.25"/>
    <row r="1008" x14ac:dyDescent="0.25"/>
    <row r="1009" x14ac:dyDescent="0.25"/>
    <row r="1010" x14ac:dyDescent="0.25"/>
    <row r="1011" x14ac:dyDescent="0.25"/>
    <row r="1012" x14ac:dyDescent="0.25"/>
    <row r="1013" x14ac:dyDescent="0.25"/>
    <row r="1014" x14ac:dyDescent="0.25"/>
    <row r="1015" x14ac:dyDescent="0.25"/>
    <row r="1016" x14ac:dyDescent="0.25"/>
    <row r="1017" x14ac:dyDescent="0.25"/>
    <row r="1018" x14ac:dyDescent="0.25"/>
    <row r="1019" x14ac:dyDescent="0.25"/>
    <row r="1020" x14ac:dyDescent="0.25"/>
    <row r="1021" x14ac:dyDescent="0.25"/>
    <row r="1022" x14ac:dyDescent="0.25"/>
    <row r="1023" x14ac:dyDescent="0.25"/>
    <row r="1024" x14ac:dyDescent="0.25"/>
    <row r="1025" x14ac:dyDescent="0.25"/>
    <row r="1026" x14ac:dyDescent="0.25"/>
    <row r="1027" x14ac:dyDescent="0.25"/>
    <row r="1028" x14ac:dyDescent="0.25"/>
    <row r="1029" x14ac:dyDescent="0.25"/>
    <row r="1030" x14ac:dyDescent="0.25"/>
    <row r="1031" x14ac:dyDescent="0.25"/>
    <row r="1032" x14ac:dyDescent="0.25"/>
    <row r="1033" x14ac:dyDescent="0.25"/>
    <row r="1034" x14ac:dyDescent="0.25"/>
    <row r="1035" x14ac:dyDescent="0.25"/>
    <row r="1036" x14ac:dyDescent="0.25"/>
    <row r="1037" x14ac:dyDescent="0.25"/>
    <row r="1038" x14ac:dyDescent="0.25"/>
    <row r="1039" x14ac:dyDescent="0.25"/>
    <row r="1040" x14ac:dyDescent="0.25"/>
    <row r="1041" x14ac:dyDescent="0.25"/>
    <row r="1042" x14ac:dyDescent="0.25"/>
    <row r="1043" x14ac:dyDescent="0.25"/>
    <row r="1044" x14ac:dyDescent="0.25"/>
    <row r="1045" x14ac:dyDescent="0.25"/>
    <row r="1046" x14ac:dyDescent="0.25"/>
    <row r="1047" x14ac:dyDescent="0.25"/>
    <row r="1048" x14ac:dyDescent="0.25"/>
    <row r="1049" x14ac:dyDescent="0.25"/>
    <row r="1050" x14ac:dyDescent="0.25"/>
    <row r="1051" x14ac:dyDescent="0.25"/>
    <row r="1052" x14ac:dyDescent="0.25"/>
    <row r="1053" x14ac:dyDescent="0.25"/>
    <row r="1054" x14ac:dyDescent="0.25"/>
    <row r="1055" x14ac:dyDescent="0.25"/>
    <row r="1056" x14ac:dyDescent="0.25"/>
    <row r="1057" x14ac:dyDescent="0.25"/>
    <row r="1058" x14ac:dyDescent="0.25"/>
    <row r="1059" x14ac:dyDescent="0.25"/>
    <row r="1060" x14ac:dyDescent="0.25"/>
    <row r="1061" x14ac:dyDescent="0.25"/>
    <row r="1062" x14ac:dyDescent="0.25"/>
    <row r="1063" x14ac:dyDescent="0.25"/>
    <row r="1064" x14ac:dyDescent="0.25"/>
    <row r="1065" x14ac:dyDescent="0.25"/>
    <row r="1066" x14ac:dyDescent="0.25"/>
    <row r="1067" x14ac:dyDescent="0.25"/>
    <row r="1068" x14ac:dyDescent="0.25"/>
    <row r="1069" x14ac:dyDescent="0.25"/>
    <row r="1070" x14ac:dyDescent="0.25"/>
    <row r="1071" x14ac:dyDescent="0.25"/>
    <row r="1072" x14ac:dyDescent="0.25"/>
    <row r="1073" x14ac:dyDescent="0.25"/>
    <row r="1074" x14ac:dyDescent="0.25"/>
    <row r="1075" x14ac:dyDescent="0.25"/>
    <row r="1076" x14ac:dyDescent="0.25"/>
    <row r="1077" x14ac:dyDescent="0.25"/>
    <row r="1078" x14ac:dyDescent="0.25"/>
    <row r="1079" x14ac:dyDescent="0.25"/>
    <row r="1080" x14ac:dyDescent="0.25"/>
    <row r="1081" x14ac:dyDescent="0.25"/>
    <row r="1082" x14ac:dyDescent="0.25"/>
    <row r="1083" x14ac:dyDescent="0.25"/>
    <row r="1084" x14ac:dyDescent="0.25"/>
    <row r="1085" x14ac:dyDescent="0.25"/>
    <row r="1086" x14ac:dyDescent="0.25"/>
    <row r="1087" x14ac:dyDescent="0.25"/>
    <row r="1088" x14ac:dyDescent="0.25"/>
    <row r="1089" x14ac:dyDescent="0.25"/>
    <row r="1090" x14ac:dyDescent="0.25"/>
    <row r="1091" x14ac:dyDescent="0.25"/>
    <row r="1092" x14ac:dyDescent="0.25"/>
    <row r="1093" x14ac:dyDescent="0.25"/>
    <row r="1094" x14ac:dyDescent="0.25"/>
    <row r="1095" x14ac:dyDescent="0.25"/>
    <row r="1096" x14ac:dyDescent="0.25"/>
    <row r="1097" x14ac:dyDescent="0.25"/>
    <row r="1098" x14ac:dyDescent="0.25"/>
    <row r="1099" x14ac:dyDescent="0.25"/>
    <row r="1100" x14ac:dyDescent="0.25"/>
    <row r="1101" x14ac:dyDescent="0.25"/>
    <row r="1102" x14ac:dyDescent="0.25"/>
    <row r="1103" x14ac:dyDescent="0.25"/>
    <row r="1104" x14ac:dyDescent="0.25"/>
    <row r="1105" x14ac:dyDescent="0.25"/>
    <row r="1106" x14ac:dyDescent="0.25"/>
    <row r="1107" x14ac:dyDescent="0.25"/>
    <row r="1108" x14ac:dyDescent="0.25"/>
    <row r="1109" x14ac:dyDescent="0.25"/>
    <row r="1110" x14ac:dyDescent="0.25"/>
    <row r="1111" x14ac:dyDescent="0.25"/>
    <row r="1112" x14ac:dyDescent="0.25"/>
    <row r="1113" x14ac:dyDescent="0.25"/>
    <row r="1114" x14ac:dyDescent="0.25"/>
    <row r="1115" x14ac:dyDescent="0.25"/>
    <row r="1116" x14ac:dyDescent="0.25"/>
    <row r="1117" x14ac:dyDescent="0.25"/>
    <row r="1118" x14ac:dyDescent="0.25"/>
    <row r="1119" x14ac:dyDescent="0.25"/>
    <row r="1120" x14ac:dyDescent="0.25"/>
    <row r="1121" x14ac:dyDescent="0.25"/>
    <row r="1122" x14ac:dyDescent="0.25"/>
    <row r="1123" x14ac:dyDescent="0.25"/>
    <row r="1124" x14ac:dyDescent="0.25"/>
    <row r="1125" x14ac:dyDescent="0.25"/>
    <row r="1126" x14ac:dyDescent="0.25"/>
    <row r="1127" x14ac:dyDescent="0.25"/>
    <row r="1128" x14ac:dyDescent="0.25"/>
    <row r="1129" x14ac:dyDescent="0.25"/>
    <row r="1130" x14ac:dyDescent="0.25"/>
    <row r="1131" x14ac:dyDescent="0.25"/>
    <row r="1132" x14ac:dyDescent="0.25"/>
    <row r="1133" x14ac:dyDescent="0.25"/>
    <row r="1134" x14ac:dyDescent="0.25"/>
    <row r="1135" x14ac:dyDescent="0.25"/>
    <row r="1136" x14ac:dyDescent="0.25"/>
    <row r="1137" x14ac:dyDescent="0.25"/>
    <row r="1138" x14ac:dyDescent="0.25"/>
    <row r="1139" x14ac:dyDescent="0.25"/>
    <row r="1140" x14ac:dyDescent="0.25"/>
    <row r="1141" x14ac:dyDescent="0.25"/>
    <row r="1142" x14ac:dyDescent="0.25"/>
    <row r="1143" x14ac:dyDescent="0.25"/>
    <row r="1144" x14ac:dyDescent="0.25"/>
    <row r="1145" x14ac:dyDescent="0.25"/>
    <row r="1146" x14ac:dyDescent="0.25"/>
    <row r="1147" x14ac:dyDescent="0.25"/>
    <row r="1148" x14ac:dyDescent="0.25"/>
    <row r="1149" x14ac:dyDescent="0.25"/>
    <row r="1150" x14ac:dyDescent="0.25"/>
    <row r="1151" x14ac:dyDescent="0.25"/>
    <row r="1152" x14ac:dyDescent="0.25"/>
    <row r="1153" x14ac:dyDescent="0.25"/>
    <row r="1154" x14ac:dyDescent="0.25"/>
    <row r="1155" x14ac:dyDescent="0.25"/>
    <row r="1156" x14ac:dyDescent="0.25"/>
    <row r="1157" x14ac:dyDescent="0.25"/>
    <row r="1158" x14ac:dyDescent="0.25"/>
    <row r="1159" x14ac:dyDescent="0.25"/>
    <row r="1160" x14ac:dyDescent="0.25"/>
    <row r="1161" x14ac:dyDescent="0.25"/>
    <row r="1162" x14ac:dyDescent="0.25"/>
    <row r="1163" x14ac:dyDescent="0.25"/>
    <row r="1164" x14ac:dyDescent="0.25"/>
    <row r="1165" x14ac:dyDescent="0.25"/>
    <row r="1166" x14ac:dyDescent="0.25"/>
    <row r="1167" x14ac:dyDescent="0.25"/>
    <row r="1168" x14ac:dyDescent="0.25"/>
    <row r="1169" x14ac:dyDescent="0.25"/>
    <row r="1170" x14ac:dyDescent="0.25"/>
    <row r="1171" x14ac:dyDescent="0.25"/>
    <row r="1172" x14ac:dyDescent="0.25"/>
    <row r="1173" x14ac:dyDescent="0.25"/>
    <row r="1174" x14ac:dyDescent="0.25"/>
    <row r="1175" x14ac:dyDescent="0.25"/>
    <row r="1176" x14ac:dyDescent="0.25"/>
    <row r="1177" x14ac:dyDescent="0.25"/>
    <row r="1178" x14ac:dyDescent="0.25"/>
    <row r="1179" x14ac:dyDescent="0.25"/>
    <row r="1180" x14ac:dyDescent="0.25"/>
    <row r="1181" x14ac:dyDescent="0.25"/>
    <row r="1182" x14ac:dyDescent="0.25"/>
    <row r="1183" x14ac:dyDescent="0.25"/>
    <row r="1184" x14ac:dyDescent="0.25"/>
    <row r="1185" x14ac:dyDescent="0.25"/>
    <row r="1186" x14ac:dyDescent="0.25"/>
    <row r="1187" x14ac:dyDescent="0.25"/>
    <row r="1188" x14ac:dyDescent="0.25"/>
    <row r="1189" x14ac:dyDescent="0.25"/>
    <row r="1190" x14ac:dyDescent="0.25"/>
    <row r="1191" x14ac:dyDescent="0.25"/>
    <row r="1192" x14ac:dyDescent="0.25"/>
    <row r="1193" x14ac:dyDescent="0.25"/>
    <row r="1194" x14ac:dyDescent="0.25"/>
    <row r="1195" x14ac:dyDescent="0.25"/>
    <row r="1196" x14ac:dyDescent="0.25"/>
    <row r="1197" x14ac:dyDescent="0.25"/>
    <row r="1198" x14ac:dyDescent="0.25"/>
    <row r="1199" x14ac:dyDescent="0.25"/>
    <row r="1200" x14ac:dyDescent="0.25"/>
    <row r="1201" x14ac:dyDescent="0.25"/>
    <row r="1202" x14ac:dyDescent="0.25"/>
    <row r="1203" x14ac:dyDescent="0.25"/>
    <row r="1204" x14ac:dyDescent="0.25"/>
    <row r="1205" x14ac:dyDescent="0.25"/>
    <row r="1206" x14ac:dyDescent="0.25"/>
    <row r="1207" x14ac:dyDescent="0.25"/>
    <row r="1208" x14ac:dyDescent="0.25"/>
    <row r="1209" x14ac:dyDescent="0.25"/>
    <row r="1210" x14ac:dyDescent="0.25"/>
    <row r="1211" x14ac:dyDescent="0.25"/>
    <row r="1212" x14ac:dyDescent="0.25"/>
    <row r="1213" x14ac:dyDescent="0.25"/>
    <row r="1214" x14ac:dyDescent="0.25"/>
    <row r="1215" x14ac:dyDescent="0.25"/>
    <row r="1216" x14ac:dyDescent="0.25"/>
    <row r="1217" x14ac:dyDescent="0.25"/>
    <row r="1218" x14ac:dyDescent="0.25"/>
    <row r="1219" x14ac:dyDescent="0.25"/>
    <row r="1220" x14ac:dyDescent="0.25"/>
    <row r="1221" x14ac:dyDescent="0.25"/>
    <row r="1222" x14ac:dyDescent="0.25"/>
    <row r="1223" x14ac:dyDescent="0.25"/>
    <row r="1224" x14ac:dyDescent="0.25"/>
    <row r="1225" x14ac:dyDescent="0.25"/>
    <row r="1226" x14ac:dyDescent="0.25"/>
    <row r="1227" x14ac:dyDescent="0.25"/>
    <row r="1228" x14ac:dyDescent="0.25"/>
    <row r="1229" x14ac:dyDescent="0.25"/>
    <row r="1230" x14ac:dyDescent="0.25"/>
    <row r="1231" x14ac:dyDescent="0.25"/>
    <row r="1232" x14ac:dyDescent="0.25"/>
    <row r="1233" x14ac:dyDescent="0.25"/>
    <row r="1234" x14ac:dyDescent="0.25"/>
    <row r="1235" x14ac:dyDescent="0.25"/>
    <row r="1236" x14ac:dyDescent="0.25"/>
    <row r="1237" x14ac:dyDescent="0.25"/>
    <row r="1238" x14ac:dyDescent="0.25"/>
    <row r="1239" x14ac:dyDescent="0.25"/>
    <row r="1240" x14ac:dyDescent="0.25"/>
    <row r="1241" x14ac:dyDescent="0.25"/>
    <row r="1242" x14ac:dyDescent="0.25"/>
    <row r="1243" x14ac:dyDescent="0.25"/>
    <row r="1244" x14ac:dyDescent="0.25"/>
    <row r="1245" x14ac:dyDescent="0.25"/>
    <row r="1246" x14ac:dyDescent="0.25"/>
    <row r="1247" x14ac:dyDescent="0.25"/>
    <row r="1248" x14ac:dyDescent="0.25"/>
    <row r="1249" x14ac:dyDescent="0.25"/>
    <row r="1250" x14ac:dyDescent="0.25"/>
    <row r="1251" x14ac:dyDescent="0.25"/>
    <row r="1252" x14ac:dyDescent="0.25"/>
    <row r="1253" x14ac:dyDescent="0.25"/>
    <row r="1254" x14ac:dyDescent="0.25"/>
    <row r="1255" x14ac:dyDescent="0.25"/>
    <row r="1256" x14ac:dyDescent="0.25"/>
    <row r="1257" x14ac:dyDescent="0.25"/>
    <row r="1258" x14ac:dyDescent="0.25"/>
    <row r="1259" x14ac:dyDescent="0.25"/>
    <row r="1260" x14ac:dyDescent="0.25"/>
    <row r="1261" x14ac:dyDescent="0.25"/>
    <row r="1262" x14ac:dyDescent="0.25"/>
    <row r="1263" x14ac:dyDescent="0.25"/>
    <row r="1264" x14ac:dyDescent="0.25"/>
    <row r="1265" x14ac:dyDescent="0.25"/>
    <row r="1266" x14ac:dyDescent="0.25"/>
    <row r="1267" x14ac:dyDescent="0.25"/>
    <row r="1268" x14ac:dyDescent="0.25"/>
    <row r="1269" x14ac:dyDescent="0.25"/>
    <row r="1270" x14ac:dyDescent="0.25"/>
    <row r="1271" x14ac:dyDescent="0.25"/>
    <row r="1272" x14ac:dyDescent="0.25"/>
    <row r="1273" x14ac:dyDescent="0.25"/>
    <row r="1274" x14ac:dyDescent="0.25"/>
    <row r="1275" x14ac:dyDescent="0.25"/>
    <row r="1276" x14ac:dyDescent="0.25"/>
    <row r="1277" x14ac:dyDescent="0.25"/>
    <row r="1278" x14ac:dyDescent="0.25"/>
    <row r="1279" x14ac:dyDescent="0.25"/>
    <row r="1280" x14ac:dyDescent="0.25"/>
    <row r="1281" x14ac:dyDescent="0.25"/>
    <row r="1282" x14ac:dyDescent="0.25"/>
    <row r="1283" x14ac:dyDescent="0.25"/>
    <row r="1284" x14ac:dyDescent="0.25"/>
    <row r="1285" x14ac:dyDescent="0.25"/>
    <row r="1286" x14ac:dyDescent="0.25"/>
    <row r="1287" x14ac:dyDescent="0.25"/>
    <row r="1288" x14ac:dyDescent="0.25"/>
    <row r="1289" x14ac:dyDescent="0.25"/>
    <row r="1290" x14ac:dyDescent="0.25"/>
    <row r="1291" x14ac:dyDescent="0.25"/>
    <row r="1292" x14ac:dyDescent="0.25"/>
    <row r="1293" x14ac:dyDescent="0.25"/>
    <row r="1294" x14ac:dyDescent="0.25"/>
    <row r="1295" x14ac:dyDescent="0.25"/>
    <row r="1296" x14ac:dyDescent="0.25"/>
    <row r="1297" x14ac:dyDescent="0.25"/>
    <row r="1298" x14ac:dyDescent="0.25"/>
    <row r="1299" x14ac:dyDescent="0.25"/>
    <row r="1300" x14ac:dyDescent="0.25"/>
    <row r="1301" x14ac:dyDescent="0.25"/>
    <row r="1302" x14ac:dyDescent="0.25"/>
    <row r="1303" x14ac:dyDescent="0.25"/>
    <row r="1304" x14ac:dyDescent="0.25"/>
    <row r="1305" x14ac:dyDescent="0.25"/>
    <row r="1306" x14ac:dyDescent="0.25"/>
    <row r="1307" x14ac:dyDescent="0.25"/>
    <row r="1308" x14ac:dyDescent="0.25"/>
    <row r="1309" x14ac:dyDescent="0.25"/>
    <row r="1310" x14ac:dyDescent="0.25"/>
    <row r="1311" x14ac:dyDescent="0.25"/>
    <row r="1312" x14ac:dyDescent="0.25"/>
    <row r="1313" x14ac:dyDescent="0.25"/>
    <row r="1314" x14ac:dyDescent="0.25"/>
    <row r="1315" x14ac:dyDescent="0.25"/>
    <row r="1316" x14ac:dyDescent="0.25"/>
    <row r="1317" x14ac:dyDescent="0.25"/>
    <row r="1318" x14ac:dyDescent="0.25"/>
    <row r="1319" x14ac:dyDescent="0.25"/>
    <row r="1320" x14ac:dyDescent="0.25"/>
    <row r="1321" x14ac:dyDescent="0.25"/>
    <row r="1322" x14ac:dyDescent="0.25"/>
    <row r="1323" x14ac:dyDescent="0.25"/>
    <row r="1324" x14ac:dyDescent="0.25"/>
    <row r="1325" x14ac:dyDescent="0.25"/>
    <row r="1326" x14ac:dyDescent="0.25"/>
    <row r="1327" x14ac:dyDescent="0.25"/>
    <row r="1328" x14ac:dyDescent="0.25"/>
    <row r="1329" x14ac:dyDescent="0.25"/>
    <row r="1330" x14ac:dyDescent="0.25"/>
    <row r="1331" x14ac:dyDescent="0.25"/>
    <row r="1332" x14ac:dyDescent="0.25"/>
    <row r="1333" x14ac:dyDescent="0.25"/>
    <row r="1334" x14ac:dyDescent="0.25"/>
    <row r="1335" x14ac:dyDescent="0.25"/>
    <row r="1336" x14ac:dyDescent="0.25"/>
    <row r="1337" x14ac:dyDescent="0.25"/>
    <row r="1338" x14ac:dyDescent="0.25"/>
    <row r="1339" x14ac:dyDescent="0.25"/>
    <row r="1340" x14ac:dyDescent="0.25"/>
    <row r="1341" x14ac:dyDescent="0.25"/>
    <row r="1342" x14ac:dyDescent="0.25"/>
    <row r="1343" x14ac:dyDescent="0.25"/>
    <row r="1344" x14ac:dyDescent="0.25"/>
    <row r="1345" x14ac:dyDescent="0.25"/>
    <row r="1346" x14ac:dyDescent="0.25"/>
    <row r="1347" x14ac:dyDescent="0.25"/>
    <row r="1348" x14ac:dyDescent="0.25"/>
    <row r="1349" x14ac:dyDescent="0.25"/>
    <row r="1350" x14ac:dyDescent="0.25"/>
    <row r="1351" x14ac:dyDescent="0.25"/>
    <row r="1352" x14ac:dyDescent="0.25"/>
    <row r="1353" x14ac:dyDescent="0.25"/>
    <row r="1354" x14ac:dyDescent="0.25"/>
    <row r="1355" x14ac:dyDescent="0.25"/>
    <row r="1356" x14ac:dyDescent="0.25"/>
    <row r="1357" x14ac:dyDescent="0.25"/>
    <row r="1358" x14ac:dyDescent="0.25"/>
    <row r="1359" x14ac:dyDescent="0.25"/>
    <row r="1360" x14ac:dyDescent="0.25"/>
    <row r="1361" x14ac:dyDescent="0.25"/>
    <row r="1362" x14ac:dyDescent="0.25"/>
    <row r="1363" x14ac:dyDescent="0.25"/>
    <row r="1364" x14ac:dyDescent="0.25"/>
    <row r="1365" x14ac:dyDescent="0.25"/>
    <row r="1366" x14ac:dyDescent="0.25"/>
    <row r="1367" x14ac:dyDescent="0.25"/>
    <row r="1368" x14ac:dyDescent="0.25"/>
    <row r="1369" x14ac:dyDescent="0.25"/>
    <row r="1370" x14ac:dyDescent="0.25"/>
    <row r="1371" x14ac:dyDescent="0.25"/>
    <row r="1372" x14ac:dyDescent="0.25"/>
    <row r="1373" x14ac:dyDescent="0.25"/>
    <row r="1374" x14ac:dyDescent="0.25"/>
    <row r="1375" x14ac:dyDescent="0.25"/>
    <row r="1376" x14ac:dyDescent="0.25"/>
    <row r="1377" x14ac:dyDescent="0.25"/>
    <row r="1378" x14ac:dyDescent="0.25"/>
    <row r="1379" x14ac:dyDescent="0.25"/>
    <row r="1380" x14ac:dyDescent="0.25"/>
    <row r="1381" x14ac:dyDescent="0.25"/>
    <row r="1382" x14ac:dyDescent="0.25"/>
    <row r="1383" x14ac:dyDescent="0.25"/>
    <row r="1384" x14ac:dyDescent="0.25"/>
    <row r="1385" x14ac:dyDescent="0.25"/>
    <row r="1386" x14ac:dyDescent="0.25"/>
    <row r="1387" x14ac:dyDescent="0.25"/>
    <row r="1388" x14ac:dyDescent="0.25"/>
    <row r="1389" x14ac:dyDescent="0.25"/>
    <row r="1390" x14ac:dyDescent="0.25"/>
    <row r="1391" x14ac:dyDescent="0.25"/>
    <row r="1392" x14ac:dyDescent="0.25"/>
    <row r="1393" x14ac:dyDescent="0.25"/>
    <row r="1394" x14ac:dyDescent="0.25"/>
    <row r="1395" x14ac:dyDescent="0.25"/>
    <row r="1396" x14ac:dyDescent="0.25"/>
    <row r="1397" x14ac:dyDescent="0.25"/>
    <row r="1398" x14ac:dyDescent="0.25"/>
    <row r="1399" x14ac:dyDescent="0.25"/>
    <row r="1400" x14ac:dyDescent="0.25"/>
    <row r="1401" x14ac:dyDescent="0.25"/>
    <row r="1402" x14ac:dyDescent="0.25"/>
    <row r="1403" x14ac:dyDescent="0.25"/>
    <row r="1404" x14ac:dyDescent="0.25"/>
    <row r="1405" x14ac:dyDescent="0.25"/>
    <row r="1406" x14ac:dyDescent="0.25"/>
    <row r="1407" x14ac:dyDescent="0.25"/>
    <row r="1408" x14ac:dyDescent="0.25"/>
    <row r="1409" x14ac:dyDescent="0.25"/>
    <row r="1410" x14ac:dyDescent="0.25"/>
    <row r="1411" x14ac:dyDescent="0.25"/>
    <row r="1412" x14ac:dyDescent="0.25"/>
    <row r="1413" x14ac:dyDescent="0.25"/>
    <row r="1414" x14ac:dyDescent="0.25"/>
    <row r="1415" x14ac:dyDescent="0.25"/>
    <row r="1416" x14ac:dyDescent="0.25"/>
    <row r="1417" x14ac:dyDescent="0.25"/>
    <row r="1418" x14ac:dyDescent="0.25"/>
    <row r="1419" x14ac:dyDescent="0.25"/>
    <row r="1420" x14ac:dyDescent="0.25"/>
    <row r="1421" x14ac:dyDescent="0.25"/>
    <row r="1422" x14ac:dyDescent="0.25"/>
    <row r="1423" x14ac:dyDescent="0.25"/>
    <row r="1424" x14ac:dyDescent="0.25"/>
    <row r="1425" x14ac:dyDescent="0.25"/>
    <row r="1426" x14ac:dyDescent="0.25"/>
    <row r="1427" x14ac:dyDescent="0.25"/>
    <row r="1428" x14ac:dyDescent="0.25"/>
    <row r="1429" x14ac:dyDescent="0.25"/>
    <row r="1430" x14ac:dyDescent="0.25"/>
    <row r="1431" x14ac:dyDescent="0.25"/>
    <row r="1432" x14ac:dyDescent="0.25"/>
    <row r="1433" x14ac:dyDescent="0.25"/>
    <row r="1434" x14ac:dyDescent="0.25"/>
    <row r="1435" x14ac:dyDescent="0.25"/>
    <row r="1436" x14ac:dyDescent="0.25"/>
    <row r="1437" x14ac:dyDescent="0.25"/>
    <row r="1438" x14ac:dyDescent="0.25"/>
    <row r="1439" x14ac:dyDescent="0.25"/>
    <row r="1440" x14ac:dyDescent="0.25"/>
    <row r="1441" x14ac:dyDescent="0.25"/>
    <row r="1442" x14ac:dyDescent="0.25"/>
    <row r="1443" x14ac:dyDescent="0.25"/>
    <row r="1444" x14ac:dyDescent="0.25"/>
    <row r="1445" x14ac:dyDescent="0.25"/>
    <row r="1446" x14ac:dyDescent="0.25"/>
    <row r="1447" x14ac:dyDescent="0.25"/>
    <row r="1448" x14ac:dyDescent="0.25"/>
    <row r="1449" x14ac:dyDescent="0.25"/>
    <row r="1450" x14ac:dyDescent="0.25"/>
    <row r="1451" x14ac:dyDescent="0.25"/>
    <row r="1452" x14ac:dyDescent="0.25"/>
    <row r="1453" x14ac:dyDescent="0.25"/>
    <row r="1454" x14ac:dyDescent="0.25"/>
    <row r="1455" x14ac:dyDescent="0.25"/>
    <row r="1456" x14ac:dyDescent="0.25"/>
    <row r="1457" x14ac:dyDescent="0.25"/>
    <row r="1458" x14ac:dyDescent="0.25"/>
    <row r="1459" x14ac:dyDescent="0.25"/>
    <row r="1460" x14ac:dyDescent="0.25"/>
    <row r="1461" x14ac:dyDescent="0.25"/>
    <row r="1462" x14ac:dyDescent="0.25"/>
    <row r="1463" x14ac:dyDescent="0.25"/>
    <row r="1464" x14ac:dyDescent="0.25"/>
    <row r="1465" x14ac:dyDescent="0.25"/>
    <row r="1466" x14ac:dyDescent="0.25"/>
    <row r="1467" x14ac:dyDescent="0.25"/>
    <row r="1468" x14ac:dyDescent="0.25"/>
    <row r="1469" x14ac:dyDescent="0.25"/>
    <row r="1470" x14ac:dyDescent="0.25"/>
    <row r="1471" x14ac:dyDescent="0.25"/>
    <row r="1472" x14ac:dyDescent="0.25"/>
    <row r="1473" x14ac:dyDescent="0.25"/>
    <row r="1474" x14ac:dyDescent="0.25"/>
    <row r="1475" x14ac:dyDescent="0.25"/>
    <row r="1476" x14ac:dyDescent="0.25"/>
    <row r="1477" x14ac:dyDescent="0.25"/>
    <row r="1478" x14ac:dyDescent="0.25"/>
    <row r="1479" x14ac:dyDescent="0.25"/>
    <row r="1480" x14ac:dyDescent="0.25"/>
    <row r="1481" x14ac:dyDescent="0.25"/>
    <row r="1482" x14ac:dyDescent="0.25"/>
    <row r="1483" x14ac:dyDescent="0.25"/>
    <row r="1484" x14ac:dyDescent="0.25"/>
    <row r="1485" x14ac:dyDescent="0.25"/>
    <row r="1486" x14ac:dyDescent="0.25"/>
    <row r="1487" x14ac:dyDescent="0.25"/>
    <row r="1488" x14ac:dyDescent="0.25"/>
    <row r="1489" x14ac:dyDescent="0.25"/>
    <row r="1490" x14ac:dyDescent="0.25"/>
    <row r="1491" x14ac:dyDescent="0.25"/>
    <row r="1492" x14ac:dyDescent="0.25"/>
    <row r="1493" x14ac:dyDescent="0.25"/>
    <row r="1494" x14ac:dyDescent="0.25"/>
    <row r="1495" x14ac:dyDescent="0.25"/>
    <row r="1496" x14ac:dyDescent="0.25"/>
    <row r="1497" x14ac:dyDescent="0.25"/>
    <row r="1498" x14ac:dyDescent="0.25"/>
    <row r="1499" x14ac:dyDescent="0.25"/>
    <row r="1500" x14ac:dyDescent="0.25"/>
    <row r="1501" x14ac:dyDescent="0.25"/>
    <row r="1502" x14ac:dyDescent="0.25"/>
    <row r="1503" x14ac:dyDescent="0.25"/>
    <row r="1504" x14ac:dyDescent="0.25"/>
    <row r="1505" x14ac:dyDescent="0.25"/>
    <row r="1506" x14ac:dyDescent="0.25"/>
    <row r="1507" x14ac:dyDescent="0.25"/>
    <row r="1508" x14ac:dyDescent="0.25"/>
    <row r="1509" x14ac:dyDescent="0.25"/>
    <row r="1510" x14ac:dyDescent="0.25"/>
    <row r="1511" x14ac:dyDescent="0.25"/>
    <row r="1512" x14ac:dyDescent="0.25"/>
    <row r="1513" x14ac:dyDescent="0.25"/>
    <row r="1514" x14ac:dyDescent="0.25"/>
    <row r="1515" x14ac:dyDescent="0.25"/>
    <row r="1516" x14ac:dyDescent="0.25"/>
    <row r="1517" x14ac:dyDescent="0.25"/>
    <row r="1518" x14ac:dyDescent="0.25"/>
    <row r="1519" x14ac:dyDescent="0.25"/>
    <row r="1520" x14ac:dyDescent="0.25"/>
    <row r="1521" x14ac:dyDescent="0.25"/>
    <row r="1522" x14ac:dyDescent="0.25"/>
    <row r="1523" x14ac:dyDescent="0.25"/>
    <row r="1524" x14ac:dyDescent="0.25"/>
    <row r="1525" x14ac:dyDescent="0.25"/>
    <row r="1526" x14ac:dyDescent="0.25"/>
    <row r="1527" x14ac:dyDescent="0.25"/>
    <row r="1528" x14ac:dyDescent="0.25"/>
    <row r="1529" x14ac:dyDescent="0.25"/>
    <row r="1530" x14ac:dyDescent="0.25"/>
    <row r="1531" x14ac:dyDescent="0.25"/>
    <row r="1532" x14ac:dyDescent="0.25"/>
    <row r="1533" x14ac:dyDescent="0.25"/>
    <row r="1534" x14ac:dyDescent="0.25"/>
    <row r="1535" x14ac:dyDescent="0.25"/>
    <row r="1536" x14ac:dyDescent="0.25"/>
    <row r="1537" x14ac:dyDescent="0.25"/>
    <row r="1538" x14ac:dyDescent="0.25"/>
    <row r="1539" x14ac:dyDescent="0.25"/>
    <row r="1540" x14ac:dyDescent="0.25"/>
    <row r="1541" x14ac:dyDescent="0.25"/>
    <row r="1542" x14ac:dyDescent="0.25"/>
    <row r="1543" x14ac:dyDescent="0.25"/>
    <row r="1544" x14ac:dyDescent="0.25"/>
    <row r="1545" x14ac:dyDescent="0.25"/>
    <row r="1546" x14ac:dyDescent="0.25"/>
    <row r="1547" x14ac:dyDescent="0.25"/>
    <row r="1548" x14ac:dyDescent="0.25"/>
    <row r="1549" x14ac:dyDescent="0.25"/>
    <row r="1550" x14ac:dyDescent="0.25"/>
    <row r="1551" x14ac:dyDescent="0.25"/>
    <row r="1552" x14ac:dyDescent="0.25"/>
    <row r="1553" x14ac:dyDescent="0.25"/>
    <row r="1554" x14ac:dyDescent="0.25"/>
    <row r="1555" x14ac:dyDescent="0.25"/>
    <row r="1556" x14ac:dyDescent="0.25"/>
    <row r="1557" x14ac:dyDescent="0.25"/>
    <row r="1558" x14ac:dyDescent="0.25"/>
    <row r="1559" x14ac:dyDescent="0.25"/>
    <row r="1560" x14ac:dyDescent="0.25"/>
    <row r="1561" x14ac:dyDescent="0.25"/>
    <row r="1562" x14ac:dyDescent="0.25"/>
    <row r="1563" x14ac:dyDescent="0.25"/>
    <row r="1564" x14ac:dyDescent="0.25"/>
    <row r="1565" x14ac:dyDescent="0.25"/>
    <row r="1566" x14ac:dyDescent="0.25"/>
    <row r="1567" x14ac:dyDescent="0.25"/>
    <row r="1568" x14ac:dyDescent="0.25"/>
    <row r="1569" x14ac:dyDescent="0.25"/>
    <row r="1570" x14ac:dyDescent="0.25"/>
    <row r="1571" x14ac:dyDescent="0.25"/>
    <row r="1572" x14ac:dyDescent="0.25"/>
    <row r="1573" x14ac:dyDescent="0.25"/>
    <row r="1574" x14ac:dyDescent="0.25"/>
    <row r="1575" x14ac:dyDescent="0.25"/>
    <row r="1576" x14ac:dyDescent="0.25"/>
    <row r="1577" x14ac:dyDescent="0.25"/>
    <row r="1578" x14ac:dyDescent="0.25"/>
    <row r="1579" x14ac:dyDescent="0.25"/>
    <row r="1580" x14ac:dyDescent="0.25"/>
    <row r="1581" x14ac:dyDescent="0.25"/>
    <row r="1582" x14ac:dyDescent="0.25"/>
    <row r="1583" x14ac:dyDescent="0.25"/>
    <row r="1584" x14ac:dyDescent="0.25"/>
    <row r="1585" x14ac:dyDescent="0.25"/>
    <row r="1586" x14ac:dyDescent="0.25"/>
    <row r="1587" x14ac:dyDescent="0.25"/>
    <row r="1588" x14ac:dyDescent="0.25"/>
    <row r="1589" x14ac:dyDescent="0.25"/>
    <row r="1590" x14ac:dyDescent="0.25"/>
    <row r="1591" x14ac:dyDescent="0.25"/>
    <row r="1592" x14ac:dyDescent="0.25"/>
    <row r="1593" x14ac:dyDescent="0.25"/>
    <row r="1594" x14ac:dyDescent="0.25"/>
    <row r="1595" x14ac:dyDescent="0.25"/>
    <row r="1596" x14ac:dyDescent="0.25"/>
    <row r="1597" x14ac:dyDescent="0.25"/>
    <row r="1598" x14ac:dyDescent="0.25"/>
    <row r="1599" x14ac:dyDescent="0.25"/>
    <row r="1600" x14ac:dyDescent="0.25"/>
    <row r="1601" x14ac:dyDescent="0.25"/>
    <row r="1602" x14ac:dyDescent="0.25"/>
    <row r="1603" x14ac:dyDescent="0.25"/>
    <row r="1604" x14ac:dyDescent="0.25"/>
    <row r="1605" x14ac:dyDescent="0.25"/>
    <row r="1606" x14ac:dyDescent="0.25"/>
    <row r="1607" x14ac:dyDescent="0.25"/>
    <row r="1608" x14ac:dyDescent="0.25"/>
    <row r="1609" x14ac:dyDescent="0.25"/>
    <row r="1610" x14ac:dyDescent="0.25"/>
    <row r="1611" x14ac:dyDescent="0.25"/>
    <row r="1612" x14ac:dyDescent="0.25"/>
    <row r="1613" x14ac:dyDescent="0.25"/>
    <row r="1614" x14ac:dyDescent="0.25"/>
    <row r="1615" x14ac:dyDescent="0.25"/>
    <row r="1616" x14ac:dyDescent="0.25"/>
    <row r="1617" x14ac:dyDescent="0.25"/>
    <row r="1618" x14ac:dyDescent="0.25"/>
    <row r="1619" x14ac:dyDescent="0.25"/>
    <row r="1620" x14ac:dyDescent="0.25"/>
    <row r="1621" x14ac:dyDescent="0.25"/>
    <row r="1622" x14ac:dyDescent="0.25"/>
    <row r="1623" x14ac:dyDescent="0.25"/>
    <row r="1624" x14ac:dyDescent="0.25"/>
    <row r="1625" x14ac:dyDescent="0.25"/>
    <row r="1626" x14ac:dyDescent="0.25"/>
    <row r="1627" x14ac:dyDescent="0.25"/>
    <row r="1628" x14ac:dyDescent="0.25"/>
    <row r="1629" x14ac:dyDescent="0.25"/>
    <row r="1630" x14ac:dyDescent="0.25"/>
    <row r="1631" x14ac:dyDescent="0.25"/>
    <row r="1632" x14ac:dyDescent="0.25"/>
    <row r="1633" x14ac:dyDescent="0.25"/>
    <row r="1634" x14ac:dyDescent="0.25"/>
    <row r="1635" x14ac:dyDescent="0.25"/>
    <row r="1636" x14ac:dyDescent="0.25"/>
    <row r="1637" x14ac:dyDescent="0.25"/>
    <row r="1638" x14ac:dyDescent="0.25"/>
    <row r="1639" x14ac:dyDescent="0.25"/>
    <row r="1640" x14ac:dyDescent="0.25"/>
    <row r="1641" x14ac:dyDescent="0.25"/>
    <row r="1642" x14ac:dyDescent="0.25"/>
    <row r="1643" x14ac:dyDescent="0.25"/>
    <row r="1644" x14ac:dyDescent="0.25"/>
    <row r="1645" x14ac:dyDescent="0.25"/>
    <row r="1646" x14ac:dyDescent="0.25"/>
    <row r="1647" x14ac:dyDescent="0.25"/>
    <row r="1648" x14ac:dyDescent="0.25"/>
    <row r="1649" x14ac:dyDescent="0.25"/>
    <row r="1650" x14ac:dyDescent="0.25"/>
    <row r="1651" x14ac:dyDescent="0.25"/>
    <row r="1652" x14ac:dyDescent="0.25"/>
    <row r="1653" x14ac:dyDescent="0.25"/>
    <row r="1654" x14ac:dyDescent="0.25"/>
    <row r="1655" x14ac:dyDescent="0.25"/>
    <row r="1656" x14ac:dyDescent="0.25"/>
    <row r="1657" x14ac:dyDescent="0.25"/>
    <row r="1658" x14ac:dyDescent="0.25"/>
    <row r="1659" x14ac:dyDescent="0.25"/>
    <row r="1660" x14ac:dyDescent="0.25"/>
    <row r="1661" x14ac:dyDescent="0.25"/>
    <row r="1662" x14ac:dyDescent="0.25"/>
    <row r="1663" x14ac:dyDescent="0.25"/>
    <row r="1664" x14ac:dyDescent="0.25"/>
    <row r="1665" x14ac:dyDescent="0.25"/>
    <row r="1666" x14ac:dyDescent="0.25"/>
    <row r="1667" x14ac:dyDescent="0.25"/>
    <row r="1668" x14ac:dyDescent="0.25"/>
    <row r="1669" x14ac:dyDescent="0.25"/>
    <row r="1670" x14ac:dyDescent="0.25"/>
    <row r="1671" x14ac:dyDescent="0.25"/>
    <row r="1672" x14ac:dyDescent="0.25"/>
    <row r="1673" x14ac:dyDescent="0.25"/>
    <row r="1674" x14ac:dyDescent="0.25"/>
    <row r="1675" x14ac:dyDescent="0.25"/>
    <row r="1676" x14ac:dyDescent="0.25"/>
    <row r="1677" x14ac:dyDescent="0.25"/>
    <row r="1678" x14ac:dyDescent="0.25"/>
    <row r="1679" x14ac:dyDescent="0.25"/>
    <row r="1680" x14ac:dyDescent="0.25"/>
    <row r="1681" x14ac:dyDescent="0.25"/>
    <row r="1682" x14ac:dyDescent="0.25"/>
    <row r="1683" x14ac:dyDescent="0.25"/>
    <row r="1684" x14ac:dyDescent="0.25"/>
    <row r="1685" x14ac:dyDescent="0.25"/>
    <row r="1686" x14ac:dyDescent="0.25"/>
    <row r="1687" x14ac:dyDescent="0.25"/>
    <row r="1688" x14ac:dyDescent="0.25"/>
    <row r="1689" x14ac:dyDescent="0.25"/>
    <row r="1690" x14ac:dyDescent="0.25"/>
    <row r="1691" x14ac:dyDescent="0.25"/>
    <row r="1692" x14ac:dyDescent="0.25"/>
    <row r="1693" x14ac:dyDescent="0.25"/>
    <row r="1694" x14ac:dyDescent="0.25"/>
    <row r="1695" x14ac:dyDescent="0.25"/>
    <row r="1696" x14ac:dyDescent="0.25"/>
    <row r="1697" x14ac:dyDescent="0.25"/>
    <row r="1698" x14ac:dyDescent="0.25"/>
    <row r="1699" x14ac:dyDescent="0.25"/>
    <row r="1700" x14ac:dyDescent="0.25"/>
    <row r="1701" x14ac:dyDescent="0.25"/>
    <row r="1702" x14ac:dyDescent="0.25"/>
    <row r="1703" x14ac:dyDescent="0.25"/>
    <row r="1704" x14ac:dyDescent="0.25"/>
    <row r="1705" x14ac:dyDescent="0.25"/>
    <row r="1706" x14ac:dyDescent="0.25"/>
    <row r="1707" x14ac:dyDescent="0.25"/>
    <row r="1708" x14ac:dyDescent="0.25"/>
    <row r="1709" x14ac:dyDescent="0.25"/>
    <row r="1710" x14ac:dyDescent="0.25"/>
    <row r="1711" x14ac:dyDescent="0.25"/>
    <row r="1712" x14ac:dyDescent="0.25"/>
    <row r="1713" x14ac:dyDescent="0.25"/>
    <row r="1714" x14ac:dyDescent="0.25"/>
    <row r="1715" x14ac:dyDescent="0.25"/>
    <row r="1716" x14ac:dyDescent="0.25"/>
    <row r="1717" x14ac:dyDescent="0.25"/>
    <row r="1718" x14ac:dyDescent="0.25"/>
    <row r="1719" x14ac:dyDescent="0.25"/>
    <row r="1720" x14ac:dyDescent="0.25"/>
    <row r="1721" x14ac:dyDescent="0.25"/>
    <row r="1722" x14ac:dyDescent="0.25"/>
    <row r="1723" x14ac:dyDescent="0.25"/>
    <row r="1724" x14ac:dyDescent="0.25"/>
    <row r="1725" x14ac:dyDescent="0.25"/>
    <row r="1726" x14ac:dyDescent="0.25"/>
    <row r="1727" x14ac:dyDescent="0.25"/>
    <row r="1728" x14ac:dyDescent="0.25"/>
    <row r="1729" x14ac:dyDescent="0.25"/>
    <row r="1730" x14ac:dyDescent="0.25"/>
    <row r="1731" x14ac:dyDescent="0.25"/>
    <row r="1732" x14ac:dyDescent="0.25"/>
    <row r="1733" x14ac:dyDescent="0.25"/>
    <row r="1734" x14ac:dyDescent="0.25"/>
    <row r="1735" x14ac:dyDescent="0.25"/>
    <row r="1736" x14ac:dyDescent="0.25"/>
    <row r="1737" x14ac:dyDescent="0.25"/>
    <row r="1738" x14ac:dyDescent="0.25"/>
    <row r="1739" x14ac:dyDescent="0.25"/>
    <row r="1740" x14ac:dyDescent="0.25"/>
    <row r="1741" x14ac:dyDescent="0.25"/>
    <row r="1742" x14ac:dyDescent="0.25"/>
    <row r="1743" x14ac:dyDescent="0.25"/>
    <row r="1744" x14ac:dyDescent="0.25"/>
    <row r="1745" x14ac:dyDescent="0.25"/>
    <row r="1746" x14ac:dyDescent="0.25"/>
    <row r="1747" x14ac:dyDescent="0.25"/>
    <row r="1748" x14ac:dyDescent="0.25"/>
    <row r="1749" x14ac:dyDescent="0.25"/>
    <row r="1750" x14ac:dyDescent="0.25"/>
    <row r="1751" x14ac:dyDescent="0.25"/>
    <row r="1752" x14ac:dyDescent="0.25"/>
    <row r="1753" x14ac:dyDescent="0.25"/>
    <row r="1754" x14ac:dyDescent="0.25"/>
    <row r="1755" x14ac:dyDescent="0.25"/>
    <row r="1756" x14ac:dyDescent="0.25"/>
    <row r="1757" x14ac:dyDescent="0.25"/>
    <row r="1758" x14ac:dyDescent="0.25"/>
    <row r="1759" x14ac:dyDescent="0.25"/>
    <row r="1760" x14ac:dyDescent="0.25"/>
    <row r="1761" x14ac:dyDescent="0.25"/>
    <row r="1762" x14ac:dyDescent="0.25"/>
    <row r="1763" x14ac:dyDescent="0.25"/>
    <row r="1764" x14ac:dyDescent="0.25"/>
    <row r="1765" x14ac:dyDescent="0.25"/>
    <row r="1766" x14ac:dyDescent="0.25"/>
    <row r="1767" x14ac:dyDescent="0.25"/>
    <row r="1768" x14ac:dyDescent="0.25"/>
    <row r="1769" x14ac:dyDescent="0.25"/>
    <row r="1770" x14ac:dyDescent="0.25"/>
    <row r="1771" x14ac:dyDescent="0.25"/>
    <row r="1772" x14ac:dyDescent="0.25"/>
    <row r="1773" x14ac:dyDescent="0.25"/>
    <row r="1774" x14ac:dyDescent="0.25"/>
    <row r="1775" x14ac:dyDescent="0.25"/>
    <row r="1776" x14ac:dyDescent="0.25"/>
    <row r="1777" x14ac:dyDescent="0.25"/>
    <row r="1778" x14ac:dyDescent="0.25"/>
    <row r="1779" x14ac:dyDescent="0.25"/>
    <row r="1780" x14ac:dyDescent="0.25"/>
    <row r="1781" x14ac:dyDescent="0.25"/>
    <row r="1782" x14ac:dyDescent="0.25"/>
    <row r="1783" x14ac:dyDescent="0.25"/>
    <row r="1784" x14ac:dyDescent="0.25"/>
    <row r="1785" x14ac:dyDescent="0.25"/>
    <row r="1786" x14ac:dyDescent="0.25"/>
    <row r="1787" x14ac:dyDescent="0.25"/>
    <row r="1788" x14ac:dyDescent="0.25"/>
    <row r="1789" x14ac:dyDescent="0.25"/>
    <row r="1790" x14ac:dyDescent="0.25"/>
    <row r="1791" x14ac:dyDescent="0.25"/>
    <row r="1792" x14ac:dyDescent="0.25"/>
    <row r="1793" x14ac:dyDescent="0.25"/>
    <row r="1794" x14ac:dyDescent="0.25"/>
    <row r="1795" x14ac:dyDescent="0.25"/>
    <row r="1796" x14ac:dyDescent="0.25"/>
    <row r="1797" x14ac:dyDescent="0.25"/>
    <row r="1798" x14ac:dyDescent="0.25"/>
    <row r="1799" x14ac:dyDescent="0.25"/>
    <row r="1800" x14ac:dyDescent="0.25"/>
    <row r="1801" x14ac:dyDescent="0.25"/>
    <row r="1802" x14ac:dyDescent="0.25"/>
    <row r="1803" x14ac:dyDescent="0.25"/>
    <row r="1804" x14ac:dyDescent="0.25"/>
    <row r="1805" x14ac:dyDescent="0.25"/>
    <row r="1806" x14ac:dyDescent="0.25"/>
    <row r="1807" x14ac:dyDescent="0.25"/>
    <row r="1808" x14ac:dyDescent="0.25"/>
    <row r="1809" x14ac:dyDescent="0.25"/>
    <row r="1810" x14ac:dyDescent="0.25"/>
    <row r="1811" x14ac:dyDescent="0.25"/>
    <row r="1812" x14ac:dyDescent="0.25"/>
    <row r="1813" x14ac:dyDescent="0.25"/>
    <row r="1814" x14ac:dyDescent="0.25"/>
    <row r="1815" x14ac:dyDescent="0.25"/>
    <row r="1816" x14ac:dyDescent="0.25"/>
    <row r="1817" x14ac:dyDescent="0.25"/>
    <row r="1818" x14ac:dyDescent="0.25"/>
    <row r="1819" x14ac:dyDescent="0.25"/>
    <row r="1820" x14ac:dyDescent="0.25"/>
    <row r="1821" x14ac:dyDescent="0.25"/>
    <row r="1822" x14ac:dyDescent="0.25"/>
    <row r="1823" x14ac:dyDescent="0.25"/>
    <row r="1824" x14ac:dyDescent="0.25"/>
    <row r="1825" x14ac:dyDescent="0.25"/>
    <row r="1826" x14ac:dyDescent="0.25"/>
    <row r="1827" x14ac:dyDescent="0.25"/>
    <row r="1828" x14ac:dyDescent="0.25"/>
    <row r="1829" x14ac:dyDescent="0.25"/>
    <row r="1830" x14ac:dyDescent="0.25"/>
    <row r="1831" x14ac:dyDescent="0.25"/>
    <row r="1832" x14ac:dyDescent="0.25"/>
    <row r="1833" x14ac:dyDescent="0.25"/>
    <row r="1834" x14ac:dyDescent="0.25"/>
    <row r="1835" x14ac:dyDescent="0.25"/>
    <row r="1836" x14ac:dyDescent="0.25"/>
    <row r="1837" x14ac:dyDescent="0.25"/>
    <row r="1838" x14ac:dyDescent="0.25"/>
    <row r="1839" x14ac:dyDescent="0.25"/>
    <row r="1840" x14ac:dyDescent="0.25"/>
    <row r="1841" x14ac:dyDescent="0.25"/>
    <row r="1842" x14ac:dyDescent="0.25"/>
    <row r="1843" x14ac:dyDescent="0.25"/>
    <row r="1844" x14ac:dyDescent="0.25"/>
    <row r="1845" x14ac:dyDescent="0.25"/>
    <row r="1846" x14ac:dyDescent="0.25"/>
    <row r="1847" x14ac:dyDescent="0.25"/>
    <row r="1848" x14ac:dyDescent="0.25"/>
    <row r="1849" x14ac:dyDescent="0.25"/>
    <row r="1850" x14ac:dyDescent="0.25"/>
    <row r="1851" x14ac:dyDescent="0.25"/>
    <row r="1852" x14ac:dyDescent="0.25"/>
    <row r="1853" x14ac:dyDescent="0.25"/>
    <row r="1854" x14ac:dyDescent="0.25"/>
    <row r="1855" x14ac:dyDescent="0.25"/>
    <row r="1856" x14ac:dyDescent="0.25"/>
    <row r="1857" x14ac:dyDescent="0.25"/>
    <row r="1858" x14ac:dyDescent="0.25"/>
    <row r="1859" x14ac:dyDescent="0.25"/>
    <row r="1860" x14ac:dyDescent="0.25"/>
    <row r="1861" x14ac:dyDescent="0.25"/>
    <row r="1862" x14ac:dyDescent="0.25"/>
    <row r="1863" x14ac:dyDescent="0.25"/>
    <row r="1864" x14ac:dyDescent="0.25"/>
    <row r="1865" x14ac:dyDescent="0.25"/>
    <row r="1866" x14ac:dyDescent="0.25"/>
    <row r="1867" x14ac:dyDescent="0.25"/>
    <row r="1868" x14ac:dyDescent="0.25"/>
    <row r="1869" x14ac:dyDescent="0.25"/>
    <row r="1870" x14ac:dyDescent="0.25"/>
    <row r="1871" x14ac:dyDescent="0.25"/>
    <row r="1872" x14ac:dyDescent="0.25"/>
    <row r="1873" x14ac:dyDescent="0.25"/>
    <row r="1874" x14ac:dyDescent="0.25"/>
    <row r="1875" x14ac:dyDescent="0.25"/>
    <row r="1876" x14ac:dyDescent="0.25"/>
    <row r="1877" x14ac:dyDescent="0.25"/>
    <row r="1878" x14ac:dyDescent="0.25"/>
    <row r="1879" x14ac:dyDescent="0.25"/>
    <row r="1880" x14ac:dyDescent="0.25"/>
    <row r="1881" x14ac:dyDescent="0.25"/>
    <row r="1882" x14ac:dyDescent="0.25"/>
    <row r="1883" x14ac:dyDescent="0.25"/>
    <row r="1884" x14ac:dyDescent="0.25"/>
    <row r="1885" x14ac:dyDescent="0.25"/>
    <row r="1886" x14ac:dyDescent="0.25"/>
    <row r="1887" x14ac:dyDescent="0.25"/>
    <row r="1888" x14ac:dyDescent="0.25"/>
    <row r="1889" x14ac:dyDescent="0.25"/>
    <row r="1890" x14ac:dyDescent="0.25"/>
    <row r="1891" x14ac:dyDescent="0.25"/>
    <row r="1892" x14ac:dyDescent="0.25"/>
    <row r="1893" x14ac:dyDescent="0.25"/>
    <row r="1894" x14ac:dyDescent="0.25"/>
    <row r="1895" x14ac:dyDescent="0.25"/>
    <row r="1896" x14ac:dyDescent="0.25"/>
    <row r="1897" x14ac:dyDescent="0.25"/>
    <row r="1898" x14ac:dyDescent="0.25"/>
    <row r="1899" x14ac:dyDescent="0.25"/>
    <row r="1900" x14ac:dyDescent="0.25"/>
    <row r="1901" x14ac:dyDescent="0.25"/>
    <row r="1902" x14ac:dyDescent="0.25"/>
    <row r="1903" x14ac:dyDescent="0.25"/>
    <row r="1904" x14ac:dyDescent="0.25"/>
    <row r="1905" x14ac:dyDescent="0.25"/>
    <row r="1906" x14ac:dyDescent="0.25"/>
    <row r="1907" x14ac:dyDescent="0.25"/>
    <row r="1908" x14ac:dyDescent="0.25"/>
    <row r="1909" x14ac:dyDescent="0.25"/>
    <row r="1910" x14ac:dyDescent="0.25"/>
    <row r="1911" x14ac:dyDescent="0.25"/>
    <row r="1912" x14ac:dyDescent="0.25"/>
    <row r="1913" x14ac:dyDescent="0.25"/>
    <row r="1914" x14ac:dyDescent="0.25"/>
    <row r="1915" x14ac:dyDescent="0.25"/>
    <row r="1916" x14ac:dyDescent="0.25"/>
    <row r="1917" x14ac:dyDescent="0.25"/>
    <row r="1918" x14ac:dyDescent="0.25"/>
    <row r="1919" x14ac:dyDescent="0.25"/>
    <row r="1920" x14ac:dyDescent="0.25"/>
    <row r="1921" x14ac:dyDescent="0.25"/>
    <row r="1922" x14ac:dyDescent="0.25"/>
    <row r="1923" x14ac:dyDescent="0.25"/>
    <row r="1924" x14ac:dyDescent="0.25"/>
    <row r="1925" x14ac:dyDescent="0.25"/>
    <row r="1926" x14ac:dyDescent="0.25"/>
    <row r="1927" x14ac:dyDescent="0.25"/>
    <row r="1928" x14ac:dyDescent="0.25"/>
    <row r="1929" x14ac:dyDescent="0.25"/>
    <row r="1930" x14ac:dyDescent="0.25"/>
    <row r="1931" x14ac:dyDescent="0.25"/>
    <row r="1932" x14ac:dyDescent="0.25"/>
    <row r="1933" x14ac:dyDescent="0.25"/>
    <row r="1934" x14ac:dyDescent="0.25"/>
    <row r="1935" x14ac:dyDescent="0.25"/>
    <row r="1936" x14ac:dyDescent="0.25"/>
    <row r="1937" x14ac:dyDescent="0.25"/>
    <row r="1938" x14ac:dyDescent="0.25"/>
    <row r="1939" x14ac:dyDescent="0.25"/>
    <row r="1940" x14ac:dyDescent="0.25"/>
    <row r="1941" x14ac:dyDescent="0.25"/>
    <row r="1942" x14ac:dyDescent="0.25"/>
    <row r="1943" x14ac:dyDescent="0.25"/>
    <row r="1944" x14ac:dyDescent="0.25"/>
    <row r="1945" x14ac:dyDescent="0.25"/>
    <row r="1946" x14ac:dyDescent="0.25"/>
    <row r="1947" x14ac:dyDescent="0.25"/>
    <row r="1948" x14ac:dyDescent="0.25"/>
    <row r="1949" x14ac:dyDescent="0.25"/>
    <row r="1950" x14ac:dyDescent="0.25"/>
    <row r="1951" x14ac:dyDescent="0.25"/>
    <row r="1952" x14ac:dyDescent="0.25"/>
    <row r="1953" x14ac:dyDescent="0.25"/>
    <row r="1954" x14ac:dyDescent="0.25"/>
    <row r="1955" x14ac:dyDescent="0.25"/>
    <row r="1956" x14ac:dyDescent="0.25"/>
    <row r="1957" x14ac:dyDescent="0.25"/>
    <row r="1958" x14ac:dyDescent="0.25"/>
    <row r="1959" x14ac:dyDescent="0.25"/>
    <row r="1960" x14ac:dyDescent="0.25"/>
    <row r="1961" x14ac:dyDescent="0.25"/>
    <row r="1962" x14ac:dyDescent="0.25"/>
    <row r="1963" x14ac:dyDescent="0.25"/>
    <row r="1964" x14ac:dyDescent="0.25"/>
    <row r="1965" x14ac:dyDescent="0.25"/>
    <row r="1966" x14ac:dyDescent="0.25"/>
    <row r="1967" x14ac:dyDescent="0.25"/>
    <row r="1968" x14ac:dyDescent="0.25"/>
    <row r="1969" x14ac:dyDescent="0.25"/>
    <row r="1970" x14ac:dyDescent="0.25"/>
    <row r="1971" x14ac:dyDescent="0.25"/>
    <row r="1972" x14ac:dyDescent="0.25"/>
    <row r="1973" x14ac:dyDescent="0.25"/>
    <row r="1974" x14ac:dyDescent="0.25"/>
    <row r="1975" x14ac:dyDescent="0.25"/>
    <row r="1976" x14ac:dyDescent="0.25"/>
    <row r="1977" x14ac:dyDescent="0.25"/>
    <row r="1978" x14ac:dyDescent="0.25"/>
    <row r="1979" x14ac:dyDescent="0.25"/>
    <row r="1980" x14ac:dyDescent="0.25"/>
    <row r="1981" x14ac:dyDescent="0.25"/>
    <row r="1982" x14ac:dyDescent="0.25"/>
    <row r="1983" x14ac:dyDescent="0.25"/>
    <row r="1984" x14ac:dyDescent="0.25"/>
    <row r="1985" x14ac:dyDescent="0.25"/>
    <row r="1986" x14ac:dyDescent="0.25"/>
    <row r="1987" x14ac:dyDescent="0.25"/>
    <row r="1988" x14ac:dyDescent="0.25"/>
    <row r="1989" x14ac:dyDescent="0.25"/>
    <row r="1990" x14ac:dyDescent="0.25"/>
    <row r="1991" x14ac:dyDescent="0.25"/>
    <row r="1992" x14ac:dyDescent="0.25"/>
    <row r="1993" x14ac:dyDescent="0.25"/>
    <row r="1994" x14ac:dyDescent="0.25"/>
    <row r="1995" x14ac:dyDescent="0.25"/>
    <row r="1996" x14ac:dyDescent="0.25"/>
    <row r="1997" x14ac:dyDescent="0.25"/>
    <row r="1998" x14ac:dyDescent="0.25"/>
    <row r="1999" x14ac:dyDescent="0.25"/>
    <row r="2000" x14ac:dyDescent="0.25"/>
  </sheetData>
  <sheetProtection insertRows="0" deleteRows="0" autoFilter="0"/>
  <autoFilter ref="A3:Q3"/>
  <conditionalFormatting sqref="B4:G103">
    <cfRule type="containsBlanks" dxfId="364" priority="5275">
      <formula>LEN(TRIM(B4))=0</formula>
    </cfRule>
  </conditionalFormatting>
  <conditionalFormatting sqref="P4:P103">
    <cfRule type="containsBlanks" dxfId="363" priority="6">
      <formula>LEN(TRIM(P4))=0</formula>
    </cfRule>
  </conditionalFormatting>
  <conditionalFormatting sqref="R2">
    <cfRule type="expression" dxfId="362" priority="4">
      <formula>$S$2&gt;0</formula>
    </cfRule>
    <cfRule type="expression" dxfId="361" priority="5">
      <formula>$S$2=0</formula>
    </cfRule>
  </conditionalFormatting>
  <conditionalFormatting sqref="R4:R103">
    <cfRule type="containsText" dxfId="360" priority="3" operator="containsText" text="hibás">
      <formula>NOT(ISERROR(SEARCH("hibás",R4)))</formula>
    </cfRule>
  </conditionalFormatting>
  <conditionalFormatting sqref="D2:E2">
    <cfRule type="expression" dxfId="359" priority="1">
      <formula>$E$2&gt;0</formula>
    </cfRule>
    <cfRule type="expression" dxfId="358" priority="2">
      <formula>$E$2=0</formula>
    </cfRule>
  </conditionalFormatting>
  <dataValidations count="3">
    <dataValidation type="whole" operator="greaterThan" allowBlank="1" showInputMessage="1" showErrorMessage="1" sqref="G4:G103">
      <formula1>0</formula1>
    </dataValidation>
    <dataValidation type="list" allowBlank="1" showInputMessage="1" showErrorMessage="1" sqref="F4:F103 C4:D103">
      <formula1>INDIRECT(B4)</formula1>
    </dataValidation>
    <dataValidation type="whole" operator="greaterThanOrEqual" allowBlank="1" showInputMessage="1" showErrorMessage="1" error="A cella értéke csak egész szám lehet és nem lehet kisebb, mint a sor &quot;G&quot; oszlop szerinti értéke. Amennyiben a sor &quot;G&quot; oszlop szerinti adata hibás, először annak javítása szükséges." sqref="P4:P103">
      <formula1>G4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scale="56" fitToHeight="0" orientation="landscape" r:id="rId1"/>
  <headerFooter>
    <oddFooter>&amp;C&amp;N / &amp;P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Háttértáblák!$J$15:$J$21</xm:f>
          </x14:formula1>
          <xm:sqref>E4:E103</xm:sqref>
        </x14:dataValidation>
        <x14:dataValidation type="list" allowBlank="1" showInputMessage="1" showErrorMessage="1">
          <x14:formula1>
            <xm:f>Háttértáblák!$A$13:$A$16</xm:f>
          </x14:formula1>
          <xm:sqref>B4:B103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2"/>
  <sheetViews>
    <sheetView zoomScale="80" zoomScaleNormal="80" workbookViewId="0">
      <pane xSplit="3" ySplit="1" topLeftCell="D20" activePane="bottomRight" state="frozen"/>
      <selection activeCell="C36" sqref="C36"/>
      <selection pane="topRight" activeCell="C36" sqref="C36"/>
      <selection pane="bottomLeft" activeCell="C36" sqref="C36"/>
      <selection pane="bottomRight" activeCell="M59" sqref="M59"/>
    </sheetView>
  </sheetViews>
  <sheetFormatPr defaultColWidth="9.28515625" defaultRowHeight="15" x14ac:dyDescent="0.25"/>
  <cols>
    <col min="1" max="1" width="10.7109375" style="3" customWidth="1"/>
    <col min="2" max="2" width="11.42578125" style="3" customWidth="1"/>
    <col min="3" max="3" width="50.42578125" style="3" bestFit="1" customWidth="1"/>
    <col min="4" max="4" width="53.28515625" style="3" customWidth="1"/>
    <col min="5" max="5" width="17.7109375" style="3" bestFit="1" customWidth="1"/>
    <col min="6" max="6" width="26.7109375" style="103" customWidth="1"/>
    <col min="7" max="7" width="53.85546875" style="3" customWidth="1"/>
    <col min="8" max="8" width="27.140625" style="3" bestFit="1" customWidth="1"/>
    <col min="9" max="9" width="21.28515625" style="103" customWidth="1"/>
    <col min="10" max="10" width="96.7109375" style="3" customWidth="1"/>
    <col min="11" max="11" width="32.28515625" style="3" customWidth="1"/>
    <col min="12" max="12" width="35.5703125" style="3" bestFit="1" customWidth="1"/>
    <col min="13" max="13" width="50.5703125" style="3" customWidth="1"/>
    <col min="14" max="14" width="70.7109375" style="3" customWidth="1"/>
    <col min="15" max="15" width="15.7109375" style="3" customWidth="1"/>
    <col min="16" max="16" width="12.7109375" style="3" customWidth="1"/>
    <col min="17" max="17" width="10.5703125" style="3" customWidth="1"/>
    <col min="18" max="18" width="34.7109375" style="103" customWidth="1"/>
    <col min="19" max="19" width="34.42578125" style="3" customWidth="1"/>
    <col min="20" max="20" width="20.7109375" style="3" customWidth="1"/>
    <col min="21" max="21" width="20.42578125" style="3" customWidth="1"/>
    <col min="22" max="22" width="18.85546875" style="3" customWidth="1"/>
    <col min="23" max="23" width="18.42578125" style="3" customWidth="1"/>
    <col min="24" max="24" width="27.85546875" style="3" customWidth="1"/>
    <col min="25" max="25" width="17.28515625" style="3" customWidth="1"/>
    <col min="26" max="26" width="20.42578125" style="3" customWidth="1"/>
    <col min="27" max="27" width="18.85546875" style="3" customWidth="1"/>
    <col min="28" max="28" width="18.42578125" style="3" customWidth="1"/>
    <col min="29" max="29" width="27.85546875" style="3" customWidth="1"/>
    <col min="30" max="30" width="17.28515625" style="3" customWidth="1"/>
    <col min="31" max="31" width="17.7109375" style="3" customWidth="1"/>
    <col min="32" max="32" width="18.85546875" style="3" customWidth="1"/>
    <col min="33" max="33" width="18.7109375" style="3" customWidth="1"/>
    <col min="34" max="34" width="19.7109375" style="3" customWidth="1"/>
    <col min="35" max="35" width="49.28515625" style="3" customWidth="1"/>
    <col min="36" max="36" width="18.28515625" style="3" customWidth="1"/>
    <col min="37" max="37" width="16.5703125" style="3" customWidth="1"/>
    <col min="38" max="38" width="18.28515625" style="3" customWidth="1"/>
    <col min="39" max="39" width="33.42578125" style="3" customWidth="1"/>
    <col min="40" max="40" width="22.42578125" style="13" customWidth="1"/>
    <col min="41" max="16384" width="9.28515625" style="3"/>
  </cols>
  <sheetData>
    <row r="1" spans="1:40" ht="128.25" x14ac:dyDescent="0.25">
      <c r="A1" s="62" t="s">
        <v>372</v>
      </c>
      <c r="B1" s="62" t="s">
        <v>387</v>
      </c>
      <c r="C1" s="62" t="s">
        <v>1801</v>
      </c>
      <c r="D1" s="62" t="s">
        <v>1802</v>
      </c>
      <c r="E1" s="62" t="s">
        <v>388</v>
      </c>
      <c r="F1" s="62" t="s">
        <v>389</v>
      </c>
      <c r="G1" s="62" t="s">
        <v>576</v>
      </c>
      <c r="H1" s="62" t="s">
        <v>1847</v>
      </c>
      <c r="I1" s="62" t="s">
        <v>1848</v>
      </c>
      <c r="J1" s="63" t="s">
        <v>1809</v>
      </c>
      <c r="K1" s="63" t="s">
        <v>765</v>
      </c>
      <c r="L1" s="63" t="s">
        <v>662</v>
      </c>
      <c r="M1" s="64" t="s">
        <v>574</v>
      </c>
      <c r="N1" s="65" t="s">
        <v>575</v>
      </c>
      <c r="O1" s="63" t="s">
        <v>390</v>
      </c>
      <c r="P1" s="63" t="s">
        <v>391</v>
      </c>
      <c r="Q1" s="63" t="s">
        <v>392</v>
      </c>
      <c r="R1" s="63" t="s">
        <v>2836</v>
      </c>
      <c r="S1" s="63" t="s">
        <v>2837</v>
      </c>
      <c r="T1" s="63" t="s">
        <v>676</v>
      </c>
      <c r="U1" s="66" t="s">
        <v>2838</v>
      </c>
      <c r="V1" s="66" t="s">
        <v>2839</v>
      </c>
      <c r="W1" s="66" t="s">
        <v>2840</v>
      </c>
      <c r="X1" s="66" t="s">
        <v>2841</v>
      </c>
      <c r="Y1" s="278" t="s">
        <v>2842</v>
      </c>
      <c r="Z1" s="66" t="s">
        <v>2844</v>
      </c>
      <c r="AA1" s="66" t="s">
        <v>2845</v>
      </c>
      <c r="AB1" s="66" t="s">
        <v>2846</v>
      </c>
      <c r="AC1" s="66" t="s">
        <v>2847</v>
      </c>
      <c r="AD1" s="278" t="s">
        <v>2843</v>
      </c>
      <c r="AE1" s="55" t="s">
        <v>2848</v>
      </c>
      <c r="AF1" s="55" t="s">
        <v>2849</v>
      </c>
      <c r="AG1" s="280" t="s">
        <v>2850</v>
      </c>
      <c r="AH1" s="282" t="s">
        <v>2851</v>
      </c>
      <c r="AI1" s="67" t="s">
        <v>1802</v>
      </c>
      <c r="AJ1" s="56"/>
      <c r="AK1" s="59"/>
      <c r="AL1" s="68" t="s">
        <v>720</v>
      </c>
      <c r="AM1" s="69" t="s">
        <v>721</v>
      </c>
      <c r="AN1" s="69" t="s">
        <v>1891</v>
      </c>
    </row>
    <row r="2" spans="1:40" x14ac:dyDescent="0.25">
      <c r="A2" s="70">
        <v>1</v>
      </c>
      <c r="B2" s="70">
        <v>831828</v>
      </c>
      <c r="C2" s="71" t="s">
        <v>3</v>
      </c>
      <c r="D2" s="71" t="s">
        <v>397</v>
      </c>
      <c r="E2" s="70" t="s">
        <v>393</v>
      </c>
      <c r="F2" s="70" t="s">
        <v>394</v>
      </c>
      <c r="G2" s="72" t="s">
        <v>577</v>
      </c>
      <c r="H2" s="71" t="s">
        <v>544</v>
      </c>
      <c r="I2" s="160" t="s">
        <v>1849</v>
      </c>
      <c r="J2" s="73" t="s">
        <v>842</v>
      </c>
      <c r="K2" s="71" t="s">
        <v>663</v>
      </c>
      <c r="L2" s="71" t="s">
        <v>779</v>
      </c>
      <c r="M2" s="71" t="s">
        <v>3424</v>
      </c>
      <c r="N2" s="72" t="s">
        <v>865</v>
      </c>
      <c r="O2" s="70" t="s">
        <v>395</v>
      </c>
      <c r="P2" s="88" t="s">
        <v>396</v>
      </c>
      <c r="Q2" s="74" t="s">
        <v>373</v>
      </c>
      <c r="R2" s="70"/>
      <c r="S2" s="74"/>
      <c r="T2" s="75" t="s">
        <v>677</v>
      </c>
      <c r="U2" s="76"/>
      <c r="V2" s="76"/>
      <c r="W2" s="77"/>
      <c r="X2" s="77"/>
      <c r="Y2" s="279">
        <f>U2+V2+W2+X2</f>
        <v>0</v>
      </c>
      <c r="Z2" s="77"/>
      <c r="AA2" s="77"/>
      <c r="AB2" s="77"/>
      <c r="AC2" s="77"/>
      <c r="AD2" s="279">
        <f>Z2+AA2+AB2+AC2</f>
        <v>0</v>
      </c>
      <c r="AE2" s="57"/>
      <c r="AF2" s="57"/>
      <c r="AG2" s="281">
        <f>AE2+AF2</f>
        <v>0</v>
      </c>
      <c r="AH2" s="283">
        <f>AG2-Y2-AD2</f>
        <v>0</v>
      </c>
      <c r="AI2" s="59" t="s">
        <v>397</v>
      </c>
      <c r="AJ2" s="58"/>
      <c r="AK2" s="59"/>
      <c r="AL2" s="89">
        <v>203028</v>
      </c>
      <c r="AM2" s="78" t="s">
        <v>722</v>
      </c>
      <c r="AN2" s="13" t="s">
        <v>1892</v>
      </c>
    </row>
    <row r="3" spans="1:40" x14ac:dyDescent="0.25">
      <c r="A3" s="70">
        <v>2</v>
      </c>
      <c r="B3" s="70">
        <v>832100</v>
      </c>
      <c r="C3" s="71" t="s">
        <v>880</v>
      </c>
      <c r="D3" s="71" t="s">
        <v>1252</v>
      </c>
      <c r="E3" s="70" t="s">
        <v>495</v>
      </c>
      <c r="F3" s="70" t="s">
        <v>496</v>
      </c>
      <c r="G3" s="72" t="s">
        <v>597</v>
      </c>
      <c r="H3" s="71" t="s">
        <v>563</v>
      </c>
      <c r="I3" s="160" t="s">
        <v>1849</v>
      </c>
      <c r="J3" s="73" t="s">
        <v>856</v>
      </c>
      <c r="K3" s="71" t="s">
        <v>623</v>
      </c>
      <c r="L3" s="71" t="s">
        <v>811</v>
      </c>
      <c r="M3" s="72" t="s">
        <v>812</v>
      </c>
      <c r="N3" s="72" t="s">
        <v>813</v>
      </c>
      <c r="O3" s="70" t="s">
        <v>395</v>
      </c>
      <c r="P3" s="88" t="s">
        <v>497</v>
      </c>
      <c r="Q3" s="74" t="s">
        <v>373</v>
      </c>
      <c r="R3" s="70"/>
      <c r="S3" s="74"/>
      <c r="T3" s="75" t="s">
        <v>699</v>
      </c>
      <c r="U3" s="76"/>
      <c r="V3" s="76"/>
      <c r="W3" s="77"/>
      <c r="X3" s="77"/>
      <c r="Y3" s="279">
        <f t="shared" ref="Y3:Y51" si="0">U3+V3+W3+X3</f>
        <v>0</v>
      </c>
      <c r="Z3" s="77"/>
      <c r="AA3" s="77"/>
      <c r="AB3" s="77"/>
      <c r="AC3" s="77"/>
      <c r="AD3" s="279">
        <f t="shared" ref="AD3:AD51" si="1">Z3+AA3+AB3+AC3</f>
        <v>0</v>
      </c>
      <c r="AE3" s="57"/>
      <c r="AF3" s="57"/>
      <c r="AG3" s="281">
        <f t="shared" ref="AG3:AG51" si="2">AE3+AF3</f>
        <v>0</v>
      </c>
      <c r="AH3" s="283">
        <f t="shared" ref="AH3:AH51" si="3">AG3-Y3-AD3</f>
        <v>0</v>
      </c>
      <c r="AI3" s="59" t="s">
        <v>1252</v>
      </c>
      <c r="AJ3" s="58"/>
      <c r="AK3" s="59"/>
      <c r="AL3" s="89">
        <v>203049</v>
      </c>
      <c r="AM3" s="78" t="s">
        <v>749</v>
      </c>
      <c r="AN3" s="13" t="s">
        <v>1892</v>
      </c>
    </row>
    <row r="4" spans="1:40" x14ac:dyDescent="0.25">
      <c r="A4" s="70">
        <v>3</v>
      </c>
      <c r="B4" s="70">
        <v>831839</v>
      </c>
      <c r="C4" s="71" t="s">
        <v>4</v>
      </c>
      <c r="D4" s="71" t="s">
        <v>401</v>
      </c>
      <c r="E4" s="70" t="s">
        <v>398</v>
      </c>
      <c r="F4" s="70" t="s">
        <v>399</v>
      </c>
      <c r="G4" s="72" t="s">
        <v>578</v>
      </c>
      <c r="H4" s="71" t="s">
        <v>766</v>
      </c>
      <c r="I4" s="160" t="s">
        <v>1849</v>
      </c>
      <c r="J4" s="73" t="s">
        <v>843</v>
      </c>
      <c r="K4" s="71" t="s">
        <v>545</v>
      </c>
      <c r="L4" s="71" t="s">
        <v>610</v>
      </c>
      <c r="M4" s="72" t="s">
        <v>3423</v>
      </c>
      <c r="N4" s="72" t="s">
        <v>628</v>
      </c>
      <c r="O4" s="70" t="s">
        <v>395</v>
      </c>
      <c r="P4" s="88" t="s">
        <v>400</v>
      </c>
      <c r="Q4" s="74" t="s">
        <v>373</v>
      </c>
      <c r="R4" s="70"/>
      <c r="S4" s="74"/>
      <c r="T4" s="75" t="s">
        <v>678</v>
      </c>
      <c r="U4" s="76"/>
      <c r="V4" s="76"/>
      <c r="W4" s="77"/>
      <c r="X4" s="77"/>
      <c r="Y4" s="279">
        <f t="shared" si="0"/>
        <v>0</v>
      </c>
      <c r="Z4" s="77"/>
      <c r="AA4" s="77"/>
      <c r="AB4" s="77"/>
      <c r="AC4" s="77"/>
      <c r="AD4" s="279">
        <f t="shared" si="1"/>
        <v>0</v>
      </c>
      <c r="AE4" s="57"/>
      <c r="AF4" s="57"/>
      <c r="AG4" s="281">
        <f t="shared" si="2"/>
        <v>0</v>
      </c>
      <c r="AH4" s="283">
        <f t="shared" si="3"/>
        <v>0</v>
      </c>
      <c r="AI4" s="59" t="s">
        <v>401</v>
      </c>
      <c r="AJ4" s="58"/>
      <c r="AK4" s="59"/>
      <c r="AL4" s="89">
        <v>203029</v>
      </c>
      <c r="AM4" s="78" t="s">
        <v>723</v>
      </c>
      <c r="AN4" s="13" t="s">
        <v>1892</v>
      </c>
    </row>
    <row r="5" spans="1:40" x14ac:dyDescent="0.25">
      <c r="A5" s="70">
        <v>4</v>
      </c>
      <c r="B5" s="70">
        <v>831840</v>
      </c>
      <c r="C5" s="71" t="s">
        <v>5</v>
      </c>
      <c r="D5" s="71" t="s">
        <v>405</v>
      </c>
      <c r="E5" s="70" t="s">
        <v>402</v>
      </c>
      <c r="F5" s="70" t="s">
        <v>403</v>
      </c>
      <c r="G5" s="72" t="s">
        <v>579</v>
      </c>
      <c r="H5" s="71" t="s">
        <v>664</v>
      </c>
      <c r="I5" s="160" t="s">
        <v>1849</v>
      </c>
      <c r="J5" s="73" t="s">
        <v>844</v>
      </c>
      <c r="K5" s="71" t="s">
        <v>546</v>
      </c>
      <c r="L5" s="71" t="s">
        <v>780</v>
      </c>
      <c r="M5" s="72" t="s">
        <v>611</v>
      </c>
      <c r="N5" s="72" t="s">
        <v>781</v>
      </c>
      <c r="O5" s="70" t="s">
        <v>395</v>
      </c>
      <c r="P5" s="88" t="s">
        <v>404</v>
      </c>
      <c r="Q5" s="74" t="s">
        <v>373</v>
      </c>
      <c r="R5" s="70"/>
      <c r="S5" s="74"/>
      <c r="T5" s="75" t="s">
        <v>679</v>
      </c>
      <c r="U5" s="76"/>
      <c r="V5" s="76"/>
      <c r="W5" s="77"/>
      <c r="X5" s="77"/>
      <c r="Y5" s="279">
        <f t="shared" si="0"/>
        <v>0</v>
      </c>
      <c r="Z5" s="77"/>
      <c r="AA5" s="77"/>
      <c r="AB5" s="77"/>
      <c r="AC5" s="77"/>
      <c r="AD5" s="279">
        <f t="shared" si="1"/>
        <v>0</v>
      </c>
      <c r="AE5" s="57"/>
      <c r="AF5" s="57"/>
      <c r="AG5" s="281">
        <f t="shared" si="2"/>
        <v>0</v>
      </c>
      <c r="AH5" s="283">
        <f t="shared" si="3"/>
        <v>0</v>
      </c>
      <c r="AI5" s="59" t="s">
        <v>405</v>
      </c>
      <c r="AJ5" s="58"/>
      <c r="AK5" s="59"/>
      <c r="AL5" s="89">
        <v>203030</v>
      </c>
      <c r="AM5" s="78" t="s">
        <v>724</v>
      </c>
      <c r="AN5" s="13" t="s">
        <v>1892</v>
      </c>
    </row>
    <row r="6" spans="1:40" x14ac:dyDescent="0.25">
      <c r="A6" s="70">
        <v>5</v>
      </c>
      <c r="B6" s="70">
        <v>831851</v>
      </c>
      <c r="C6" s="71" t="s">
        <v>6</v>
      </c>
      <c r="D6" s="71" t="s">
        <v>409</v>
      </c>
      <c r="E6" s="70" t="s">
        <v>406</v>
      </c>
      <c r="F6" s="70" t="s">
        <v>407</v>
      </c>
      <c r="G6" s="72" t="s">
        <v>580</v>
      </c>
      <c r="H6" s="71" t="s">
        <v>3392</v>
      </c>
      <c r="I6" s="160" t="s">
        <v>1849</v>
      </c>
      <c r="J6" s="73" t="s">
        <v>3395</v>
      </c>
      <c r="K6" s="71" t="s">
        <v>3430</v>
      </c>
      <c r="L6" s="71" t="s">
        <v>866</v>
      </c>
      <c r="M6" s="80"/>
      <c r="N6" s="80"/>
      <c r="O6" s="70" t="s">
        <v>395</v>
      </c>
      <c r="P6" s="88" t="s">
        <v>408</v>
      </c>
      <c r="Q6" s="74" t="s">
        <v>373</v>
      </c>
      <c r="R6" s="70"/>
      <c r="S6" s="74"/>
      <c r="T6" s="75" t="s">
        <v>0</v>
      </c>
      <c r="U6" s="76"/>
      <c r="V6" s="76"/>
      <c r="W6" s="77"/>
      <c r="X6" s="77"/>
      <c r="Y6" s="279">
        <f t="shared" si="0"/>
        <v>0</v>
      </c>
      <c r="Z6" s="77"/>
      <c r="AA6" s="77"/>
      <c r="AB6" s="77"/>
      <c r="AC6" s="77"/>
      <c r="AD6" s="279">
        <f t="shared" si="1"/>
        <v>0</v>
      </c>
      <c r="AE6" s="57"/>
      <c r="AF6" s="57"/>
      <c r="AG6" s="281">
        <f t="shared" si="2"/>
        <v>0</v>
      </c>
      <c r="AH6" s="283">
        <f t="shared" si="3"/>
        <v>0</v>
      </c>
      <c r="AI6" s="59" t="s">
        <v>409</v>
      </c>
      <c r="AJ6" s="58"/>
      <c r="AK6" s="59"/>
      <c r="AL6" s="89">
        <v>203061</v>
      </c>
      <c r="AM6" s="78" t="s">
        <v>725</v>
      </c>
      <c r="AN6" s="13" t="s">
        <v>1892</v>
      </c>
    </row>
    <row r="7" spans="1:40" x14ac:dyDescent="0.25">
      <c r="A7" s="70">
        <v>6</v>
      </c>
      <c r="B7" s="70">
        <v>831862</v>
      </c>
      <c r="C7" s="71" t="s">
        <v>7</v>
      </c>
      <c r="D7" s="71" t="s">
        <v>413</v>
      </c>
      <c r="E7" s="70" t="s">
        <v>410</v>
      </c>
      <c r="F7" s="70" t="s">
        <v>411</v>
      </c>
      <c r="G7" s="72" t="s">
        <v>726</v>
      </c>
      <c r="H7" s="71" t="s">
        <v>3393</v>
      </c>
      <c r="I7" s="160" t="s">
        <v>1849</v>
      </c>
      <c r="J7" s="73" t="s">
        <v>845</v>
      </c>
      <c r="K7" s="71" t="s">
        <v>547</v>
      </c>
      <c r="L7" s="71" t="s">
        <v>867</v>
      </c>
      <c r="M7" s="72" t="s">
        <v>612</v>
      </c>
      <c r="N7" s="72" t="s">
        <v>629</v>
      </c>
      <c r="O7" s="70" t="s">
        <v>395</v>
      </c>
      <c r="P7" s="88" t="s">
        <v>412</v>
      </c>
      <c r="Q7" s="74" t="s">
        <v>373</v>
      </c>
      <c r="R7" s="70"/>
      <c r="S7" s="74"/>
      <c r="T7" s="75" t="s">
        <v>0</v>
      </c>
      <c r="U7" s="76"/>
      <c r="V7" s="76"/>
      <c r="W7" s="77"/>
      <c r="X7" s="77"/>
      <c r="Y7" s="279">
        <f t="shared" si="0"/>
        <v>0</v>
      </c>
      <c r="Z7" s="77"/>
      <c r="AA7" s="77"/>
      <c r="AB7" s="77"/>
      <c r="AC7" s="77"/>
      <c r="AD7" s="279">
        <f t="shared" si="1"/>
        <v>0</v>
      </c>
      <c r="AE7" s="57"/>
      <c r="AF7" s="57"/>
      <c r="AG7" s="281">
        <f t="shared" si="2"/>
        <v>0</v>
      </c>
      <c r="AH7" s="283">
        <f t="shared" si="3"/>
        <v>0</v>
      </c>
      <c r="AI7" s="59" t="s">
        <v>413</v>
      </c>
      <c r="AJ7" s="58"/>
      <c r="AK7" s="59"/>
      <c r="AL7" s="89">
        <v>203031</v>
      </c>
      <c r="AM7" s="78" t="s">
        <v>727</v>
      </c>
      <c r="AN7" s="13" t="s">
        <v>1892</v>
      </c>
    </row>
    <row r="8" spans="1:40" x14ac:dyDescent="0.25">
      <c r="A8" s="70">
        <v>7</v>
      </c>
      <c r="B8" s="70">
        <v>831873</v>
      </c>
      <c r="C8" s="71" t="s">
        <v>8</v>
      </c>
      <c r="D8" s="71" t="s">
        <v>417</v>
      </c>
      <c r="E8" s="70" t="s">
        <v>414</v>
      </c>
      <c r="F8" s="70" t="s">
        <v>415</v>
      </c>
      <c r="G8" s="72" t="s">
        <v>581</v>
      </c>
      <c r="H8" s="71" t="s">
        <v>3394</v>
      </c>
      <c r="I8" s="160" t="s">
        <v>1849</v>
      </c>
      <c r="J8" s="73" t="s">
        <v>3396</v>
      </c>
      <c r="K8" s="71" t="s">
        <v>613</v>
      </c>
      <c r="L8" s="71" t="s">
        <v>782</v>
      </c>
      <c r="M8" s="72" t="s">
        <v>3421</v>
      </c>
      <c r="N8" s="72" t="s">
        <v>630</v>
      </c>
      <c r="O8" s="70" t="s">
        <v>395</v>
      </c>
      <c r="P8" s="88" t="s">
        <v>416</v>
      </c>
      <c r="Q8" s="74" t="s">
        <v>373</v>
      </c>
      <c r="R8" s="70"/>
      <c r="S8" s="74"/>
      <c r="T8" s="75" t="s">
        <v>0</v>
      </c>
      <c r="U8" s="76"/>
      <c r="V8" s="76"/>
      <c r="W8" s="77"/>
      <c r="X8" s="77"/>
      <c r="Y8" s="279">
        <f t="shared" si="0"/>
        <v>0</v>
      </c>
      <c r="Z8" s="77"/>
      <c r="AA8" s="77"/>
      <c r="AB8" s="77"/>
      <c r="AC8" s="77"/>
      <c r="AD8" s="279">
        <f t="shared" si="1"/>
        <v>0</v>
      </c>
      <c r="AE8" s="57"/>
      <c r="AF8" s="57"/>
      <c r="AG8" s="281">
        <f t="shared" si="2"/>
        <v>0</v>
      </c>
      <c r="AH8" s="283">
        <f t="shared" si="3"/>
        <v>0</v>
      </c>
      <c r="AI8" s="59" t="s">
        <v>417</v>
      </c>
      <c r="AJ8" s="58"/>
      <c r="AK8" s="59"/>
      <c r="AL8" s="89">
        <v>203032</v>
      </c>
      <c r="AM8" s="78" t="s">
        <v>728</v>
      </c>
      <c r="AN8" s="13" t="s">
        <v>1892</v>
      </c>
    </row>
    <row r="9" spans="1:40" x14ac:dyDescent="0.25">
      <c r="A9" s="70">
        <v>8</v>
      </c>
      <c r="B9" s="70">
        <v>831884</v>
      </c>
      <c r="C9" s="71" t="s">
        <v>9</v>
      </c>
      <c r="D9" s="71" t="s">
        <v>421</v>
      </c>
      <c r="E9" s="70" t="s">
        <v>418</v>
      </c>
      <c r="F9" s="70" t="s">
        <v>419</v>
      </c>
      <c r="G9" s="72" t="s">
        <v>1239</v>
      </c>
      <c r="H9" s="71" t="s">
        <v>614</v>
      </c>
      <c r="I9" s="160" t="s">
        <v>1849</v>
      </c>
      <c r="J9" s="73" t="s">
        <v>846</v>
      </c>
      <c r="K9" s="71" t="s">
        <v>868</v>
      </c>
      <c r="L9" s="71" t="s">
        <v>1240</v>
      </c>
      <c r="M9" s="72" t="s">
        <v>783</v>
      </c>
      <c r="N9" s="72" t="s">
        <v>784</v>
      </c>
      <c r="O9" s="70" t="s">
        <v>395</v>
      </c>
      <c r="P9" s="88" t="s">
        <v>420</v>
      </c>
      <c r="Q9" s="74" t="s">
        <v>373</v>
      </c>
      <c r="R9" s="70"/>
      <c r="S9" s="74"/>
      <c r="T9" s="75" t="s">
        <v>0</v>
      </c>
      <c r="U9" s="76"/>
      <c r="V9" s="76"/>
      <c r="W9" s="77"/>
      <c r="X9" s="77"/>
      <c r="Y9" s="279">
        <f t="shared" si="0"/>
        <v>0</v>
      </c>
      <c r="Z9" s="77"/>
      <c r="AA9" s="77"/>
      <c r="AB9" s="77"/>
      <c r="AC9" s="77"/>
      <c r="AD9" s="279">
        <f t="shared" si="1"/>
        <v>0</v>
      </c>
      <c r="AE9" s="57"/>
      <c r="AF9" s="57"/>
      <c r="AG9" s="281">
        <f t="shared" si="2"/>
        <v>0</v>
      </c>
      <c r="AH9" s="283">
        <f t="shared" si="3"/>
        <v>0</v>
      </c>
      <c r="AI9" s="59" t="s">
        <v>421</v>
      </c>
      <c r="AJ9" s="58"/>
      <c r="AK9" s="59"/>
      <c r="AL9" s="89">
        <v>203058</v>
      </c>
      <c r="AM9" s="78" t="s">
        <v>729</v>
      </c>
      <c r="AN9" s="13" t="s">
        <v>1892</v>
      </c>
    </row>
    <row r="10" spans="1:40" x14ac:dyDescent="0.25">
      <c r="A10" s="70">
        <v>9</v>
      </c>
      <c r="B10" s="70">
        <v>831905</v>
      </c>
      <c r="C10" s="71" t="s">
        <v>10</v>
      </c>
      <c r="D10" s="71" t="s">
        <v>425</v>
      </c>
      <c r="E10" s="70" t="s">
        <v>422</v>
      </c>
      <c r="F10" s="70" t="s">
        <v>423</v>
      </c>
      <c r="G10" s="72" t="s">
        <v>582</v>
      </c>
      <c r="H10" s="71" t="s">
        <v>767</v>
      </c>
      <c r="I10" s="160" t="s">
        <v>1849</v>
      </c>
      <c r="J10" s="73" t="s">
        <v>847</v>
      </c>
      <c r="K10" s="71" t="s">
        <v>548</v>
      </c>
      <c r="L10" s="71" t="s">
        <v>615</v>
      </c>
      <c r="M10" s="72" t="s">
        <v>3422</v>
      </c>
      <c r="N10" s="72" t="s">
        <v>631</v>
      </c>
      <c r="O10" s="70" t="s">
        <v>395</v>
      </c>
      <c r="P10" s="88" t="s">
        <v>424</v>
      </c>
      <c r="Q10" s="74" t="s">
        <v>373</v>
      </c>
      <c r="R10" s="70"/>
      <c r="S10" s="74"/>
      <c r="T10" s="75" t="s">
        <v>680</v>
      </c>
      <c r="U10" s="76"/>
      <c r="V10" s="76"/>
      <c r="W10" s="77"/>
      <c r="X10" s="77"/>
      <c r="Y10" s="279">
        <f t="shared" si="0"/>
        <v>0</v>
      </c>
      <c r="Z10" s="77"/>
      <c r="AA10" s="77"/>
      <c r="AB10" s="77"/>
      <c r="AC10" s="77"/>
      <c r="AD10" s="279">
        <f t="shared" si="1"/>
        <v>0</v>
      </c>
      <c r="AE10" s="57"/>
      <c r="AF10" s="57"/>
      <c r="AG10" s="281">
        <f t="shared" si="2"/>
        <v>0</v>
      </c>
      <c r="AH10" s="283">
        <f t="shared" si="3"/>
        <v>0</v>
      </c>
      <c r="AI10" s="59" t="s">
        <v>425</v>
      </c>
      <c r="AJ10" s="58"/>
      <c r="AK10" s="59"/>
      <c r="AL10" s="89">
        <v>203068</v>
      </c>
      <c r="AM10" s="78" t="s">
        <v>730</v>
      </c>
      <c r="AN10" s="13" t="s">
        <v>1892</v>
      </c>
    </row>
    <row r="11" spans="1:40" x14ac:dyDescent="0.25">
      <c r="A11" s="70">
        <v>10</v>
      </c>
      <c r="B11" s="70">
        <v>831916</v>
      </c>
      <c r="C11" s="71" t="s">
        <v>11</v>
      </c>
      <c r="D11" s="71" t="s">
        <v>429</v>
      </c>
      <c r="E11" s="70" t="s">
        <v>426</v>
      </c>
      <c r="F11" s="70" t="s">
        <v>427</v>
      </c>
      <c r="G11" s="72" t="s">
        <v>583</v>
      </c>
      <c r="H11" s="71" t="s">
        <v>549</v>
      </c>
      <c r="I11" s="160" t="s">
        <v>1849</v>
      </c>
      <c r="J11" s="73" t="s">
        <v>3398</v>
      </c>
      <c r="K11" s="79"/>
      <c r="L11" s="71" t="s">
        <v>3410</v>
      </c>
      <c r="M11" s="72" t="s">
        <v>1241</v>
      </c>
      <c r="N11" s="80"/>
      <c r="O11" s="70" t="s">
        <v>395</v>
      </c>
      <c r="P11" s="88" t="s">
        <v>428</v>
      </c>
      <c r="Q11" s="74" t="s">
        <v>373</v>
      </c>
      <c r="R11" s="70"/>
      <c r="S11" s="74"/>
      <c r="T11" s="75" t="s">
        <v>681</v>
      </c>
      <c r="U11" s="76"/>
      <c r="V11" s="76"/>
      <c r="W11" s="77"/>
      <c r="X11" s="77"/>
      <c r="Y11" s="279">
        <f t="shared" si="0"/>
        <v>0</v>
      </c>
      <c r="Z11" s="77"/>
      <c r="AA11" s="77"/>
      <c r="AB11" s="77"/>
      <c r="AC11" s="77"/>
      <c r="AD11" s="279">
        <f t="shared" si="1"/>
        <v>0</v>
      </c>
      <c r="AE11" s="57"/>
      <c r="AF11" s="57"/>
      <c r="AG11" s="281">
        <f t="shared" si="2"/>
        <v>0</v>
      </c>
      <c r="AH11" s="283">
        <f t="shared" si="3"/>
        <v>0</v>
      </c>
      <c r="AI11" s="59" t="s">
        <v>429</v>
      </c>
      <c r="AJ11" s="58"/>
      <c r="AK11" s="59"/>
      <c r="AL11" s="89">
        <v>203033</v>
      </c>
      <c r="AM11" s="78" t="s">
        <v>731</v>
      </c>
      <c r="AN11" s="13" t="s">
        <v>1892</v>
      </c>
    </row>
    <row r="12" spans="1:40" x14ac:dyDescent="0.25">
      <c r="A12" s="70">
        <v>11</v>
      </c>
      <c r="B12" s="70">
        <v>831927</v>
      </c>
      <c r="C12" s="71" t="s">
        <v>12</v>
      </c>
      <c r="D12" s="71" t="s">
        <v>433</v>
      </c>
      <c r="E12" s="70" t="s">
        <v>430</v>
      </c>
      <c r="F12" s="70" t="s">
        <v>431</v>
      </c>
      <c r="G12" s="72" t="s">
        <v>584</v>
      </c>
      <c r="H12" s="71" t="s">
        <v>768</v>
      </c>
      <c r="I12" s="160" t="s">
        <v>1849</v>
      </c>
      <c r="J12" s="73" t="s">
        <v>3397</v>
      </c>
      <c r="K12" s="71" t="s">
        <v>785</v>
      </c>
      <c r="L12" s="71" t="s">
        <v>616</v>
      </c>
      <c r="M12" s="72" t="s">
        <v>616</v>
      </c>
      <c r="N12" s="72" t="s">
        <v>632</v>
      </c>
      <c r="O12" s="70" t="s">
        <v>395</v>
      </c>
      <c r="P12" s="88" t="s">
        <v>432</v>
      </c>
      <c r="Q12" s="74" t="s">
        <v>373</v>
      </c>
      <c r="R12" s="70"/>
      <c r="S12" s="74"/>
      <c r="T12" s="75" t="s">
        <v>682</v>
      </c>
      <c r="U12" s="76"/>
      <c r="V12" s="76"/>
      <c r="W12" s="77"/>
      <c r="X12" s="77"/>
      <c r="Y12" s="279">
        <f t="shared" si="0"/>
        <v>0</v>
      </c>
      <c r="Z12" s="77"/>
      <c r="AA12" s="77"/>
      <c r="AB12" s="77"/>
      <c r="AC12" s="77"/>
      <c r="AD12" s="279">
        <f t="shared" si="1"/>
        <v>0</v>
      </c>
      <c r="AE12" s="57"/>
      <c r="AF12" s="57"/>
      <c r="AG12" s="281">
        <f t="shared" si="2"/>
        <v>0</v>
      </c>
      <c r="AH12" s="283">
        <f t="shared" si="3"/>
        <v>0</v>
      </c>
      <c r="AI12" s="59" t="s">
        <v>433</v>
      </c>
      <c r="AJ12" s="58"/>
      <c r="AK12" s="59"/>
      <c r="AL12" s="89">
        <v>203034</v>
      </c>
      <c r="AM12" s="78" t="s">
        <v>732</v>
      </c>
      <c r="AN12" s="13" t="s">
        <v>1892</v>
      </c>
    </row>
    <row r="13" spans="1:40" x14ac:dyDescent="0.25">
      <c r="A13" s="70">
        <v>12</v>
      </c>
      <c r="B13" s="70">
        <v>831949</v>
      </c>
      <c r="C13" s="82" t="s">
        <v>13</v>
      </c>
      <c r="D13" s="82" t="s">
        <v>439</v>
      </c>
      <c r="E13" s="70" t="s">
        <v>437</v>
      </c>
      <c r="F13" s="70" t="s">
        <v>438</v>
      </c>
      <c r="G13" s="72" t="s">
        <v>586</v>
      </c>
      <c r="H13" s="71" t="s">
        <v>568</v>
      </c>
      <c r="I13" s="160" t="s">
        <v>1849</v>
      </c>
      <c r="J13" s="73" t="s">
        <v>848</v>
      </c>
      <c r="K13" s="82" t="s">
        <v>551</v>
      </c>
      <c r="L13" s="322"/>
      <c r="M13" s="72" t="s">
        <v>786</v>
      </c>
      <c r="N13" s="72" t="s">
        <v>633</v>
      </c>
      <c r="O13" s="70" t="s">
        <v>395</v>
      </c>
      <c r="P13" s="88">
        <v>354539</v>
      </c>
      <c r="Q13" s="83" t="s">
        <v>373</v>
      </c>
      <c r="R13" s="70"/>
      <c r="S13" s="74"/>
      <c r="T13" s="84" t="s">
        <v>684</v>
      </c>
      <c r="U13" s="76"/>
      <c r="V13" s="76"/>
      <c r="W13" s="77"/>
      <c r="X13" s="77"/>
      <c r="Y13" s="279">
        <f t="shared" si="0"/>
        <v>0</v>
      </c>
      <c r="Z13" s="77"/>
      <c r="AA13" s="77"/>
      <c r="AB13" s="77"/>
      <c r="AC13" s="77"/>
      <c r="AD13" s="279">
        <f t="shared" si="1"/>
        <v>0</v>
      </c>
      <c r="AE13" s="57"/>
      <c r="AF13" s="57"/>
      <c r="AG13" s="281">
        <f t="shared" si="2"/>
        <v>0</v>
      </c>
      <c r="AH13" s="283">
        <f t="shared" si="3"/>
        <v>0</v>
      </c>
      <c r="AI13" s="59" t="s">
        <v>439</v>
      </c>
      <c r="AJ13" s="58"/>
      <c r="AK13" s="59"/>
      <c r="AL13" s="89">
        <v>203036</v>
      </c>
      <c r="AM13" s="78" t="s">
        <v>734</v>
      </c>
      <c r="AN13" s="13" t="s">
        <v>1892</v>
      </c>
    </row>
    <row r="14" spans="1:40" x14ac:dyDescent="0.25">
      <c r="A14" s="70">
        <v>13</v>
      </c>
      <c r="B14" s="70">
        <v>845380</v>
      </c>
      <c r="C14" s="71" t="s">
        <v>910</v>
      </c>
      <c r="D14" s="71" t="s">
        <v>1243</v>
      </c>
      <c r="E14" s="70" t="s">
        <v>1244</v>
      </c>
      <c r="F14" s="70" t="s">
        <v>1245</v>
      </c>
      <c r="G14" s="72" t="s">
        <v>1928</v>
      </c>
      <c r="H14" s="71" t="s">
        <v>1246</v>
      </c>
      <c r="I14" s="160" t="s">
        <v>1849</v>
      </c>
      <c r="J14" s="73" t="s">
        <v>3399</v>
      </c>
      <c r="K14" s="71" t="s">
        <v>1247</v>
      </c>
      <c r="L14" s="71" t="s">
        <v>674</v>
      </c>
      <c r="M14" s="80"/>
      <c r="N14" s="80"/>
      <c r="O14" s="70" t="s">
        <v>395</v>
      </c>
      <c r="P14" s="88">
        <v>388517</v>
      </c>
      <c r="Q14" s="74" t="s">
        <v>373</v>
      </c>
      <c r="R14" s="70"/>
      <c r="S14" s="74"/>
      <c r="T14" s="75" t="s">
        <v>1248</v>
      </c>
      <c r="U14" s="76"/>
      <c r="V14" s="76"/>
      <c r="W14" s="77"/>
      <c r="X14" s="77"/>
      <c r="Y14" s="279">
        <f t="shared" si="0"/>
        <v>0</v>
      </c>
      <c r="Z14" s="77"/>
      <c r="AA14" s="77"/>
      <c r="AB14" s="77"/>
      <c r="AC14" s="77"/>
      <c r="AD14" s="279">
        <f t="shared" si="1"/>
        <v>0</v>
      </c>
      <c r="AE14" s="57"/>
      <c r="AF14" s="57"/>
      <c r="AG14" s="281">
        <f t="shared" si="2"/>
        <v>0</v>
      </c>
      <c r="AH14" s="283">
        <f t="shared" si="3"/>
        <v>0</v>
      </c>
      <c r="AI14" s="59" t="s">
        <v>1243</v>
      </c>
      <c r="AJ14" s="58"/>
      <c r="AK14" s="59"/>
      <c r="AL14" s="90" t="s">
        <v>1927</v>
      </c>
      <c r="AM14" s="81" t="s">
        <v>1926</v>
      </c>
      <c r="AN14" s="13" t="s">
        <v>1892</v>
      </c>
    </row>
    <row r="15" spans="1:40" x14ac:dyDescent="0.25">
      <c r="A15" s="70">
        <v>14</v>
      </c>
      <c r="B15" s="70">
        <v>831950</v>
      </c>
      <c r="C15" s="71" t="s">
        <v>777</v>
      </c>
      <c r="D15" s="71" t="s">
        <v>787</v>
      </c>
      <c r="E15" s="70" t="s">
        <v>440</v>
      </c>
      <c r="F15" s="70" t="s">
        <v>441</v>
      </c>
      <c r="G15" s="72" t="s">
        <v>587</v>
      </c>
      <c r="H15" s="71" t="s">
        <v>552</v>
      </c>
      <c r="I15" s="160" t="s">
        <v>1849</v>
      </c>
      <c r="J15" s="73" t="s">
        <v>3400</v>
      </c>
      <c r="K15" s="71" t="s">
        <v>665</v>
      </c>
      <c r="L15" s="71" t="s">
        <v>617</v>
      </c>
      <c r="M15" s="72" t="s">
        <v>788</v>
      </c>
      <c r="N15" s="72" t="s">
        <v>789</v>
      </c>
      <c r="O15" s="70" t="s">
        <v>395</v>
      </c>
      <c r="P15" s="88" t="s">
        <v>442</v>
      </c>
      <c r="Q15" s="74" t="s">
        <v>373</v>
      </c>
      <c r="R15" s="70"/>
      <c r="S15" s="74"/>
      <c r="T15" s="75" t="s">
        <v>685</v>
      </c>
      <c r="U15" s="76"/>
      <c r="V15" s="76"/>
      <c r="W15" s="77"/>
      <c r="X15" s="77"/>
      <c r="Y15" s="279">
        <f t="shared" si="0"/>
        <v>0</v>
      </c>
      <c r="Z15" s="77"/>
      <c r="AA15" s="77"/>
      <c r="AB15" s="77"/>
      <c r="AC15" s="77"/>
      <c r="AD15" s="279">
        <f t="shared" si="1"/>
        <v>0</v>
      </c>
      <c r="AE15" s="57"/>
      <c r="AF15" s="57"/>
      <c r="AG15" s="281">
        <f t="shared" si="2"/>
        <v>0</v>
      </c>
      <c r="AH15" s="283">
        <f t="shared" si="3"/>
        <v>0</v>
      </c>
      <c r="AI15" s="59" t="s">
        <v>787</v>
      </c>
      <c r="AJ15" s="58"/>
      <c r="AK15" s="59"/>
      <c r="AL15" s="89">
        <v>203037</v>
      </c>
      <c r="AM15" s="78" t="s">
        <v>735</v>
      </c>
      <c r="AN15" s="13" t="s">
        <v>1892</v>
      </c>
    </row>
    <row r="16" spans="1:40" x14ac:dyDescent="0.25">
      <c r="A16" s="70">
        <v>15</v>
      </c>
      <c r="B16" s="70">
        <v>831972</v>
      </c>
      <c r="C16" s="71" t="s">
        <v>14</v>
      </c>
      <c r="D16" s="71" t="s">
        <v>446</v>
      </c>
      <c r="E16" s="70" t="s">
        <v>443</v>
      </c>
      <c r="F16" s="70" t="s">
        <v>444</v>
      </c>
      <c r="G16" s="72" t="s">
        <v>588</v>
      </c>
      <c r="H16" s="71" t="s">
        <v>769</v>
      </c>
      <c r="I16" s="160" t="s">
        <v>1849</v>
      </c>
      <c r="J16" s="73" t="s">
        <v>849</v>
      </c>
      <c r="K16" s="71" t="s">
        <v>553</v>
      </c>
      <c r="L16" s="71" t="s">
        <v>666</v>
      </c>
      <c r="M16" s="72" t="s">
        <v>790</v>
      </c>
      <c r="N16" s="85" t="s">
        <v>791</v>
      </c>
      <c r="O16" s="70" t="s">
        <v>395</v>
      </c>
      <c r="P16" s="88" t="s">
        <v>445</v>
      </c>
      <c r="Q16" s="74" t="s">
        <v>373</v>
      </c>
      <c r="R16" s="70"/>
      <c r="S16" s="74"/>
      <c r="T16" s="75" t="s">
        <v>686</v>
      </c>
      <c r="U16" s="76"/>
      <c r="V16" s="76"/>
      <c r="W16" s="77"/>
      <c r="X16" s="77"/>
      <c r="Y16" s="279">
        <f t="shared" si="0"/>
        <v>0</v>
      </c>
      <c r="Z16" s="77"/>
      <c r="AA16" s="77"/>
      <c r="AB16" s="77"/>
      <c r="AC16" s="77"/>
      <c r="AD16" s="279">
        <f t="shared" si="1"/>
        <v>0</v>
      </c>
      <c r="AE16" s="57"/>
      <c r="AF16" s="57"/>
      <c r="AG16" s="281">
        <f t="shared" si="2"/>
        <v>0</v>
      </c>
      <c r="AH16" s="283">
        <f t="shared" si="3"/>
        <v>0</v>
      </c>
      <c r="AI16" s="59" t="s">
        <v>446</v>
      </c>
      <c r="AJ16" s="58"/>
      <c r="AK16" s="59"/>
      <c r="AL16" s="89">
        <v>203069</v>
      </c>
      <c r="AM16" s="78" t="s">
        <v>736</v>
      </c>
      <c r="AN16" s="13" t="s">
        <v>1892</v>
      </c>
    </row>
    <row r="17" spans="1:41" ht="15" customHeight="1" x14ac:dyDescent="0.25">
      <c r="A17" s="70">
        <v>16</v>
      </c>
      <c r="B17" s="70">
        <v>831938</v>
      </c>
      <c r="C17" s="71" t="s">
        <v>904</v>
      </c>
      <c r="D17" s="71" t="s">
        <v>1890</v>
      </c>
      <c r="E17" s="70" t="s">
        <v>434</v>
      </c>
      <c r="F17" s="70" t="s">
        <v>435</v>
      </c>
      <c r="G17" s="72" t="s">
        <v>585</v>
      </c>
      <c r="H17" s="71" t="s">
        <v>550</v>
      </c>
      <c r="I17" s="160" t="s">
        <v>1849</v>
      </c>
      <c r="J17" s="73" t="s">
        <v>3401</v>
      </c>
      <c r="K17" s="71" t="s">
        <v>869</v>
      </c>
      <c r="L17" s="71" t="s">
        <v>3411</v>
      </c>
      <c r="M17" s="72" t="s">
        <v>3411</v>
      </c>
      <c r="N17" s="72" t="s">
        <v>3420</v>
      </c>
      <c r="O17" s="70" t="s">
        <v>395</v>
      </c>
      <c r="P17" s="88" t="s">
        <v>436</v>
      </c>
      <c r="Q17" s="74" t="s">
        <v>373</v>
      </c>
      <c r="R17" s="70"/>
      <c r="S17" s="74"/>
      <c r="T17" s="75" t="s">
        <v>683</v>
      </c>
      <c r="U17" s="76"/>
      <c r="V17" s="76"/>
      <c r="W17" s="77"/>
      <c r="X17" s="77"/>
      <c r="Y17" s="279">
        <f t="shared" si="0"/>
        <v>0</v>
      </c>
      <c r="Z17" s="77"/>
      <c r="AA17" s="77"/>
      <c r="AB17" s="77"/>
      <c r="AC17" s="77"/>
      <c r="AD17" s="279">
        <f t="shared" si="1"/>
        <v>0</v>
      </c>
      <c r="AE17" s="57"/>
      <c r="AF17" s="57"/>
      <c r="AG17" s="281">
        <f t="shared" si="2"/>
        <v>0</v>
      </c>
      <c r="AH17" s="283">
        <f t="shared" si="3"/>
        <v>0</v>
      </c>
      <c r="AI17" s="59" t="s">
        <v>1242</v>
      </c>
      <c r="AJ17" s="58"/>
      <c r="AK17" s="59"/>
      <c r="AL17" s="89">
        <v>203035</v>
      </c>
      <c r="AM17" s="78" t="s">
        <v>733</v>
      </c>
      <c r="AN17" s="13" t="s">
        <v>1892</v>
      </c>
    </row>
    <row r="18" spans="1:41" x14ac:dyDescent="0.25">
      <c r="A18" s="70">
        <v>17</v>
      </c>
      <c r="B18" s="70">
        <v>831983</v>
      </c>
      <c r="C18" s="71" t="s">
        <v>15</v>
      </c>
      <c r="D18" s="71" t="s">
        <v>450</v>
      </c>
      <c r="E18" s="70" t="s">
        <v>447</v>
      </c>
      <c r="F18" s="70" t="s">
        <v>448</v>
      </c>
      <c r="G18" s="72" t="s">
        <v>3760</v>
      </c>
      <c r="H18" s="71" t="s">
        <v>770</v>
      </c>
      <c r="I18" s="160" t="s">
        <v>1849</v>
      </c>
      <c r="J18" s="73" t="s">
        <v>850</v>
      </c>
      <c r="K18" s="71" t="s">
        <v>554</v>
      </c>
      <c r="L18" s="71" t="s">
        <v>712</v>
      </c>
      <c r="M18" s="71" t="s">
        <v>712</v>
      </c>
      <c r="N18" s="71" t="s">
        <v>792</v>
      </c>
      <c r="O18" s="70" t="s">
        <v>395</v>
      </c>
      <c r="P18" s="88" t="s">
        <v>449</v>
      </c>
      <c r="Q18" s="74" t="s">
        <v>373</v>
      </c>
      <c r="R18" s="70"/>
      <c r="S18" s="74"/>
      <c r="T18" s="75" t="s">
        <v>687</v>
      </c>
      <c r="U18" s="76"/>
      <c r="V18" s="76"/>
      <c r="W18" s="77"/>
      <c r="X18" s="77"/>
      <c r="Y18" s="279">
        <f t="shared" si="0"/>
        <v>0</v>
      </c>
      <c r="Z18" s="77"/>
      <c r="AA18" s="77"/>
      <c r="AB18" s="77"/>
      <c r="AC18" s="77"/>
      <c r="AD18" s="279">
        <f t="shared" si="1"/>
        <v>0</v>
      </c>
      <c r="AE18" s="57"/>
      <c r="AF18" s="57"/>
      <c r="AG18" s="281">
        <f t="shared" si="2"/>
        <v>0</v>
      </c>
      <c r="AH18" s="283">
        <f t="shared" si="3"/>
        <v>0</v>
      </c>
      <c r="AI18" s="59" t="s">
        <v>450</v>
      </c>
      <c r="AJ18" s="58"/>
      <c r="AK18" s="59"/>
      <c r="AL18" s="89">
        <v>203039</v>
      </c>
      <c r="AM18" s="78" t="s">
        <v>737</v>
      </c>
      <c r="AN18" s="13" t="s">
        <v>1892</v>
      </c>
    </row>
    <row r="19" spans="1:41" x14ac:dyDescent="0.25">
      <c r="A19" s="70">
        <v>18</v>
      </c>
      <c r="B19" s="70">
        <v>831994</v>
      </c>
      <c r="C19" s="71" t="s">
        <v>16</v>
      </c>
      <c r="D19" s="71" t="s">
        <v>454</v>
      </c>
      <c r="E19" s="70" t="s">
        <v>451</v>
      </c>
      <c r="F19" s="70" t="s">
        <v>452</v>
      </c>
      <c r="G19" s="72" t="s">
        <v>589</v>
      </c>
      <c r="H19" s="71" t="s">
        <v>555</v>
      </c>
      <c r="I19" s="160" t="s">
        <v>1849</v>
      </c>
      <c r="J19" s="73" t="s">
        <v>851</v>
      </c>
      <c r="K19" s="71" t="s">
        <v>793</v>
      </c>
      <c r="L19" s="71" t="s">
        <v>618</v>
      </c>
      <c r="M19" s="72" t="s">
        <v>794</v>
      </c>
      <c r="N19" s="72" t="s">
        <v>634</v>
      </c>
      <c r="O19" s="70" t="s">
        <v>395</v>
      </c>
      <c r="P19" s="88" t="s">
        <v>453</v>
      </c>
      <c r="Q19" s="74" t="s">
        <v>373</v>
      </c>
      <c r="R19" s="70"/>
      <c r="S19" s="74"/>
      <c r="T19" s="75" t="s">
        <v>688</v>
      </c>
      <c r="U19" s="76"/>
      <c r="V19" s="76"/>
      <c r="W19" s="77"/>
      <c r="X19" s="77"/>
      <c r="Y19" s="279">
        <f t="shared" si="0"/>
        <v>0</v>
      </c>
      <c r="Z19" s="77"/>
      <c r="AA19" s="77"/>
      <c r="AB19" s="77"/>
      <c r="AC19" s="77"/>
      <c r="AD19" s="279">
        <f t="shared" si="1"/>
        <v>0</v>
      </c>
      <c r="AE19" s="57"/>
      <c r="AF19" s="57"/>
      <c r="AG19" s="281">
        <f t="shared" si="2"/>
        <v>0</v>
      </c>
      <c r="AH19" s="283">
        <f t="shared" si="3"/>
        <v>0</v>
      </c>
      <c r="AI19" s="59" t="s">
        <v>454</v>
      </c>
      <c r="AJ19" s="58"/>
      <c r="AK19" s="59"/>
      <c r="AL19" s="89">
        <v>203027</v>
      </c>
      <c r="AM19" s="78" t="s">
        <v>738</v>
      </c>
      <c r="AN19" s="13" t="s">
        <v>1892</v>
      </c>
    </row>
    <row r="20" spans="1:41" x14ac:dyDescent="0.25">
      <c r="A20" s="70">
        <v>19</v>
      </c>
      <c r="B20" s="70">
        <v>832001</v>
      </c>
      <c r="C20" s="71" t="s">
        <v>17</v>
      </c>
      <c r="D20" s="71" t="s">
        <v>458</v>
      </c>
      <c r="E20" s="70" t="s">
        <v>455</v>
      </c>
      <c r="F20" s="70" t="s">
        <v>456</v>
      </c>
      <c r="G20" s="72" t="s">
        <v>590</v>
      </c>
      <c r="H20" s="71" t="s">
        <v>1249</v>
      </c>
      <c r="I20" s="160" t="s">
        <v>1849</v>
      </c>
      <c r="J20" s="73" t="s">
        <v>3402</v>
      </c>
      <c r="K20" s="71" t="s">
        <v>556</v>
      </c>
      <c r="L20" s="71" t="s">
        <v>667</v>
      </c>
      <c r="M20" s="72" t="s">
        <v>3419</v>
      </c>
      <c r="N20" s="72" t="s">
        <v>795</v>
      </c>
      <c r="O20" s="70" t="s">
        <v>395</v>
      </c>
      <c r="P20" s="88" t="s">
        <v>457</v>
      </c>
      <c r="Q20" s="74" t="s">
        <v>373</v>
      </c>
      <c r="R20" s="70"/>
      <c r="S20" s="74"/>
      <c r="T20" s="75" t="s">
        <v>689</v>
      </c>
      <c r="U20" s="76"/>
      <c r="V20" s="76"/>
      <c r="W20" s="77"/>
      <c r="X20" s="77"/>
      <c r="Y20" s="279">
        <f t="shared" si="0"/>
        <v>0</v>
      </c>
      <c r="Z20" s="77"/>
      <c r="AA20" s="77"/>
      <c r="AB20" s="77"/>
      <c r="AC20" s="77"/>
      <c r="AD20" s="279">
        <f t="shared" si="1"/>
        <v>0</v>
      </c>
      <c r="AE20" s="57"/>
      <c r="AF20" s="57"/>
      <c r="AG20" s="281">
        <f t="shared" si="2"/>
        <v>0</v>
      </c>
      <c r="AH20" s="283">
        <f t="shared" si="3"/>
        <v>0</v>
      </c>
      <c r="AI20" s="59" t="s">
        <v>458</v>
      </c>
      <c r="AJ20" s="58"/>
      <c r="AK20" s="59"/>
      <c r="AL20" s="89">
        <v>203040</v>
      </c>
      <c r="AM20" s="78" t="s">
        <v>739</v>
      </c>
      <c r="AN20" s="13" t="s">
        <v>1892</v>
      </c>
    </row>
    <row r="21" spans="1:41" x14ac:dyDescent="0.25">
      <c r="A21" s="70">
        <v>20</v>
      </c>
      <c r="B21" s="70">
        <v>832012</v>
      </c>
      <c r="C21" s="71" t="s">
        <v>18</v>
      </c>
      <c r="D21" s="71" t="s">
        <v>462</v>
      </c>
      <c r="E21" s="70" t="s">
        <v>459</v>
      </c>
      <c r="F21" s="70" t="s">
        <v>460</v>
      </c>
      <c r="G21" s="72" t="s">
        <v>591</v>
      </c>
      <c r="H21" s="71" t="s">
        <v>557</v>
      </c>
      <c r="I21" s="160" t="s">
        <v>1849</v>
      </c>
      <c r="J21" s="73" t="s">
        <v>3403</v>
      </c>
      <c r="K21" s="71" t="s">
        <v>668</v>
      </c>
      <c r="L21" s="71" t="s">
        <v>796</v>
      </c>
      <c r="M21" s="72" t="s">
        <v>619</v>
      </c>
      <c r="N21" s="72" t="s">
        <v>635</v>
      </c>
      <c r="O21" s="70" t="s">
        <v>395</v>
      </c>
      <c r="P21" s="88" t="s">
        <v>461</v>
      </c>
      <c r="Q21" s="74" t="s">
        <v>373</v>
      </c>
      <c r="R21" s="70"/>
      <c r="S21" s="74"/>
      <c r="T21" s="75" t="s">
        <v>690</v>
      </c>
      <c r="U21" s="76"/>
      <c r="V21" s="76"/>
      <c r="W21" s="77"/>
      <c r="X21" s="77"/>
      <c r="Y21" s="279">
        <f t="shared" si="0"/>
        <v>0</v>
      </c>
      <c r="Z21" s="77"/>
      <c r="AA21" s="77"/>
      <c r="AB21" s="77"/>
      <c r="AC21" s="77"/>
      <c r="AD21" s="279">
        <f t="shared" si="1"/>
        <v>0</v>
      </c>
      <c r="AE21" s="57"/>
      <c r="AF21" s="57"/>
      <c r="AG21" s="281">
        <f t="shared" si="2"/>
        <v>0</v>
      </c>
      <c r="AH21" s="283">
        <f t="shared" si="3"/>
        <v>0</v>
      </c>
      <c r="AI21" s="59" t="s">
        <v>462</v>
      </c>
      <c r="AJ21" s="58"/>
      <c r="AK21" s="59"/>
      <c r="AL21" s="89">
        <v>203041</v>
      </c>
      <c r="AM21" s="78" t="s">
        <v>740</v>
      </c>
      <c r="AN21" s="13" t="s">
        <v>1892</v>
      </c>
    </row>
    <row r="22" spans="1:41" x14ac:dyDescent="0.25">
      <c r="A22" s="70">
        <v>21</v>
      </c>
      <c r="B22" s="70">
        <v>832023</v>
      </c>
      <c r="C22" s="71" t="s">
        <v>19</v>
      </c>
      <c r="D22" s="71" t="s">
        <v>466</v>
      </c>
      <c r="E22" s="70" t="s">
        <v>463</v>
      </c>
      <c r="F22" s="70" t="s">
        <v>464</v>
      </c>
      <c r="G22" s="72" t="s">
        <v>592</v>
      </c>
      <c r="H22" s="71" t="s">
        <v>675</v>
      </c>
      <c r="I22" s="160" t="s">
        <v>1849</v>
      </c>
      <c r="J22" s="73" t="s">
        <v>852</v>
      </c>
      <c r="K22" s="71" t="s">
        <v>558</v>
      </c>
      <c r="L22" s="71" t="s">
        <v>620</v>
      </c>
      <c r="M22" s="72" t="s">
        <v>620</v>
      </c>
      <c r="N22" s="72" t="s">
        <v>636</v>
      </c>
      <c r="O22" s="70" t="s">
        <v>395</v>
      </c>
      <c r="P22" s="88" t="s">
        <v>465</v>
      </c>
      <c r="Q22" s="74" t="s">
        <v>373</v>
      </c>
      <c r="R22" s="70"/>
      <c r="S22" s="74"/>
      <c r="T22" s="75" t="s">
        <v>691</v>
      </c>
      <c r="U22" s="76"/>
      <c r="V22" s="76"/>
      <c r="W22" s="77"/>
      <c r="X22" s="77"/>
      <c r="Y22" s="279">
        <f t="shared" si="0"/>
        <v>0</v>
      </c>
      <c r="Z22" s="77"/>
      <c r="AA22" s="77"/>
      <c r="AB22" s="77"/>
      <c r="AC22" s="77"/>
      <c r="AD22" s="279">
        <f t="shared" si="1"/>
        <v>0</v>
      </c>
      <c r="AE22" s="57"/>
      <c r="AF22" s="57"/>
      <c r="AG22" s="281">
        <f t="shared" si="2"/>
        <v>0</v>
      </c>
      <c r="AH22" s="283">
        <f t="shared" si="3"/>
        <v>0</v>
      </c>
      <c r="AI22" s="59" t="s">
        <v>466</v>
      </c>
      <c r="AJ22" s="58"/>
      <c r="AK22" s="59"/>
      <c r="AL22" s="89">
        <v>203042</v>
      </c>
      <c r="AM22" s="78" t="s">
        <v>741</v>
      </c>
      <c r="AN22" s="13" t="s">
        <v>1892</v>
      </c>
    </row>
    <row r="23" spans="1:41" x14ac:dyDescent="0.25">
      <c r="A23" s="70">
        <v>22</v>
      </c>
      <c r="B23" s="70">
        <v>832034</v>
      </c>
      <c r="C23" s="71" t="s">
        <v>20</v>
      </c>
      <c r="D23" s="71" t="s">
        <v>470</v>
      </c>
      <c r="E23" s="70" t="s">
        <v>467</v>
      </c>
      <c r="F23" s="70" t="s">
        <v>468</v>
      </c>
      <c r="G23" s="72" t="s">
        <v>763</v>
      </c>
      <c r="H23" s="71" t="s">
        <v>771</v>
      </c>
      <c r="I23" s="160" t="s">
        <v>1849</v>
      </c>
      <c r="J23" s="73" t="s">
        <v>853</v>
      </c>
      <c r="K23" s="71" t="s">
        <v>3432</v>
      </c>
      <c r="L23" s="71" t="s">
        <v>1909</v>
      </c>
      <c r="M23" s="72" t="s">
        <v>797</v>
      </c>
      <c r="N23" s="72" t="s">
        <v>3418</v>
      </c>
      <c r="O23" s="70" t="s">
        <v>395</v>
      </c>
      <c r="P23" s="88" t="s">
        <v>469</v>
      </c>
      <c r="Q23" s="74" t="s">
        <v>373</v>
      </c>
      <c r="R23" s="70"/>
      <c r="S23" s="74"/>
      <c r="T23" s="75" t="s">
        <v>692</v>
      </c>
      <c r="U23" s="76"/>
      <c r="V23" s="76"/>
      <c r="W23" s="77"/>
      <c r="X23" s="77"/>
      <c r="Y23" s="279">
        <f t="shared" si="0"/>
        <v>0</v>
      </c>
      <c r="Z23" s="77"/>
      <c r="AA23" s="77"/>
      <c r="AB23" s="77"/>
      <c r="AC23" s="77"/>
      <c r="AD23" s="279">
        <f t="shared" si="1"/>
        <v>0</v>
      </c>
      <c r="AE23" s="57"/>
      <c r="AF23" s="57"/>
      <c r="AG23" s="281">
        <f t="shared" si="2"/>
        <v>0</v>
      </c>
      <c r="AH23" s="283">
        <f t="shared" si="3"/>
        <v>0</v>
      </c>
      <c r="AI23" s="59" t="s">
        <v>470</v>
      </c>
      <c r="AJ23" s="58"/>
      <c r="AK23" s="59"/>
      <c r="AL23" s="89">
        <v>203043</v>
      </c>
      <c r="AM23" s="78" t="s">
        <v>742</v>
      </c>
      <c r="AN23" s="13" t="s">
        <v>1892</v>
      </c>
    </row>
    <row r="24" spans="1:41" x14ac:dyDescent="0.25">
      <c r="A24" s="70">
        <v>23</v>
      </c>
      <c r="B24" s="70">
        <v>832045</v>
      </c>
      <c r="C24" s="71" t="s">
        <v>21</v>
      </c>
      <c r="D24" s="71" t="s">
        <v>474</v>
      </c>
      <c r="E24" s="70" t="s">
        <v>471</v>
      </c>
      <c r="F24" s="70" t="s">
        <v>472</v>
      </c>
      <c r="G24" s="72" t="s">
        <v>593</v>
      </c>
      <c r="H24" s="71" t="s">
        <v>559</v>
      </c>
      <c r="I24" s="160" t="s">
        <v>1849</v>
      </c>
      <c r="J24" s="73" t="s">
        <v>3404</v>
      </c>
      <c r="K24" s="71" t="s">
        <v>798</v>
      </c>
      <c r="L24" s="71" t="s">
        <v>1929</v>
      </c>
      <c r="M24" s="72" t="s">
        <v>1930</v>
      </c>
      <c r="N24" s="72" t="s">
        <v>1931</v>
      </c>
      <c r="O24" s="70" t="s">
        <v>395</v>
      </c>
      <c r="P24" s="88" t="s">
        <v>473</v>
      </c>
      <c r="Q24" s="74" t="s">
        <v>373</v>
      </c>
      <c r="R24" s="70"/>
      <c r="S24" s="74"/>
      <c r="T24" s="75" t="s">
        <v>693</v>
      </c>
      <c r="U24" s="76"/>
      <c r="V24" s="76"/>
      <c r="W24" s="77"/>
      <c r="X24" s="77"/>
      <c r="Y24" s="279">
        <f t="shared" si="0"/>
        <v>0</v>
      </c>
      <c r="Z24" s="77"/>
      <c r="AA24" s="77"/>
      <c r="AB24" s="77"/>
      <c r="AC24" s="77"/>
      <c r="AD24" s="279">
        <f t="shared" si="1"/>
        <v>0</v>
      </c>
      <c r="AE24" s="57"/>
      <c r="AF24" s="57"/>
      <c r="AG24" s="281">
        <f t="shared" si="2"/>
        <v>0</v>
      </c>
      <c r="AH24" s="283">
        <f t="shared" si="3"/>
        <v>0</v>
      </c>
      <c r="AI24" s="59" t="s">
        <v>474</v>
      </c>
      <c r="AJ24" s="58"/>
      <c r="AK24" s="59"/>
      <c r="AL24" s="89">
        <v>203059</v>
      </c>
      <c r="AM24" s="78" t="s">
        <v>743</v>
      </c>
      <c r="AN24" s="13" t="s">
        <v>1892</v>
      </c>
    </row>
    <row r="25" spans="1:41" x14ac:dyDescent="0.25">
      <c r="A25" s="70">
        <v>24</v>
      </c>
      <c r="B25" s="70">
        <v>832056</v>
      </c>
      <c r="C25" s="71" t="s">
        <v>22</v>
      </c>
      <c r="D25" s="71" t="s">
        <v>478</v>
      </c>
      <c r="E25" s="70" t="s">
        <v>475</v>
      </c>
      <c r="F25" s="70" t="s">
        <v>476</v>
      </c>
      <c r="G25" s="72" t="s">
        <v>661</v>
      </c>
      <c r="H25" s="71" t="s">
        <v>772</v>
      </c>
      <c r="I25" s="160" t="s">
        <v>1849</v>
      </c>
      <c r="J25" s="73" t="s">
        <v>854</v>
      </c>
      <c r="K25" s="71" t="s">
        <v>799</v>
      </c>
      <c r="L25" s="71" t="s">
        <v>870</v>
      </c>
      <c r="M25" s="72" t="s">
        <v>800</v>
      </c>
      <c r="N25" s="72" t="s">
        <v>801</v>
      </c>
      <c r="O25" s="70" t="s">
        <v>395</v>
      </c>
      <c r="P25" s="88" t="s">
        <v>477</v>
      </c>
      <c r="Q25" s="74" t="s">
        <v>373</v>
      </c>
      <c r="R25" s="70"/>
      <c r="S25" s="74"/>
      <c r="T25" s="75" t="s">
        <v>694</v>
      </c>
      <c r="U25" s="76"/>
      <c r="V25" s="76"/>
      <c r="W25" s="77"/>
      <c r="X25" s="77"/>
      <c r="Y25" s="279">
        <f t="shared" si="0"/>
        <v>0</v>
      </c>
      <c r="Z25" s="77"/>
      <c r="AA25" s="77"/>
      <c r="AB25" s="77"/>
      <c r="AC25" s="77"/>
      <c r="AD25" s="279">
        <f t="shared" si="1"/>
        <v>0</v>
      </c>
      <c r="AE25" s="57"/>
      <c r="AF25" s="57"/>
      <c r="AG25" s="281">
        <f t="shared" si="2"/>
        <v>0</v>
      </c>
      <c r="AH25" s="283">
        <f t="shared" si="3"/>
        <v>0</v>
      </c>
      <c r="AI25" s="59" t="s">
        <v>478</v>
      </c>
      <c r="AJ25" s="58"/>
      <c r="AK25" s="59"/>
      <c r="AL25" s="89">
        <v>203060</v>
      </c>
      <c r="AM25" s="78" t="s">
        <v>744</v>
      </c>
      <c r="AN25" s="13" t="s">
        <v>1892</v>
      </c>
    </row>
    <row r="26" spans="1:41" x14ac:dyDescent="0.25">
      <c r="A26" s="70">
        <v>25</v>
      </c>
      <c r="B26" s="70">
        <v>832067</v>
      </c>
      <c r="C26" s="71" t="s">
        <v>23</v>
      </c>
      <c r="D26" s="71" t="s">
        <v>482</v>
      </c>
      <c r="E26" s="70" t="s">
        <v>479</v>
      </c>
      <c r="F26" s="70" t="s">
        <v>480</v>
      </c>
      <c r="G26" s="72" t="s">
        <v>594</v>
      </c>
      <c r="H26" s="71" t="s">
        <v>560</v>
      </c>
      <c r="I26" s="160" t="s">
        <v>1849</v>
      </c>
      <c r="J26" s="73" t="s">
        <v>3405</v>
      </c>
      <c r="K26" s="71" t="s">
        <v>621</v>
      </c>
      <c r="L26" s="71" t="s">
        <v>802</v>
      </c>
      <c r="M26" s="72" t="s">
        <v>3417</v>
      </c>
      <c r="N26" s="72" t="s">
        <v>637</v>
      </c>
      <c r="O26" s="70" t="s">
        <v>395</v>
      </c>
      <c r="P26" s="88" t="s">
        <v>481</v>
      </c>
      <c r="Q26" s="74" t="s">
        <v>373</v>
      </c>
      <c r="R26" s="70"/>
      <c r="S26" s="74"/>
      <c r="T26" s="75" t="s">
        <v>695</v>
      </c>
      <c r="U26" s="76"/>
      <c r="V26" s="76"/>
      <c r="W26" s="77"/>
      <c r="X26" s="77"/>
      <c r="Y26" s="279">
        <f t="shared" si="0"/>
        <v>0</v>
      </c>
      <c r="Z26" s="77"/>
      <c r="AA26" s="77"/>
      <c r="AB26" s="77"/>
      <c r="AC26" s="77"/>
      <c r="AD26" s="279">
        <f t="shared" si="1"/>
        <v>0</v>
      </c>
      <c r="AE26" s="57"/>
      <c r="AF26" s="57"/>
      <c r="AG26" s="281">
        <f t="shared" si="2"/>
        <v>0</v>
      </c>
      <c r="AH26" s="283">
        <f t="shared" si="3"/>
        <v>0</v>
      </c>
      <c r="AI26" s="59" t="s">
        <v>482</v>
      </c>
      <c r="AJ26" s="58"/>
      <c r="AK26" s="59"/>
      <c r="AL26" s="89">
        <v>203044</v>
      </c>
      <c r="AM26" s="78" t="s">
        <v>745</v>
      </c>
      <c r="AN26" s="13" t="s">
        <v>1892</v>
      </c>
    </row>
    <row r="27" spans="1:41" s="2" customFormat="1" x14ac:dyDescent="0.25">
      <c r="A27" s="70">
        <v>26</v>
      </c>
      <c r="B27" s="70">
        <v>832111</v>
      </c>
      <c r="C27" s="71" t="s">
        <v>914</v>
      </c>
      <c r="D27" s="71" t="s">
        <v>1253</v>
      </c>
      <c r="E27" s="70" t="s">
        <v>498</v>
      </c>
      <c r="F27" s="70" t="s">
        <v>499</v>
      </c>
      <c r="G27" s="72" t="s">
        <v>598</v>
      </c>
      <c r="H27" s="71" t="s">
        <v>564</v>
      </c>
      <c r="I27" s="160" t="s">
        <v>1849</v>
      </c>
      <c r="J27" s="73" t="s">
        <v>3406</v>
      </c>
      <c r="K27" s="71" t="s">
        <v>624</v>
      </c>
      <c r="L27" s="71" t="s">
        <v>814</v>
      </c>
      <c r="M27" s="72" t="s">
        <v>815</v>
      </c>
      <c r="N27" s="72" t="s">
        <v>3416</v>
      </c>
      <c r="O27" s="70" t="s">
        <v>395</v>
      </c>
      <c r="P27" s="88" t="s">
        <v>500</v>
      </c>
      <c r="Q27" s="74" t="s">
        <v>373</v>
      </c>
      <c r="R27" s="70"/>
      <c r="S27" s="74"/>
      <c r="T27" s="75" t="s">
        <v>700</v>
      </c>
      <c r="U27" s="76"/>
      <c r="V27" s="76"/>
      <c r="W27" s="77"/>
      <c r="X27" s="77"/>
      <c r="Y27" s="279">
        <f t="shared" si="0"/>
        <v>0</v>
      </c>
      <c r="Z27" s="77"/>
      <c r="AA27" s="77"/>
      <c r="AB27" s="77"/>
      <c r="AC27" s="77"/>
      <c r="AD27" s="279">
        <f t="shared" si="1"/>
        <v>0</v>
      </c>
      <c r="AE27" s="57"/>
      <c r="AF27" s="57"/>
      <c r="AG27" s="281">
        <f t="shared" si="2"/>
        <v>0</v>
      </c>
      <c r="AH27" s="283">
        <f t="shared" si="3"/>
        <v>0</v>
      </c>
      <c r="AI27" s="59" t="s">
        <v>1253</v>
      </c>
      <c r="AJ27" s="58"/>
      <c r="AK27" s="59"/>
      <c r="AL27" s="89">
        <v>203048</v>
      </c>
      <c r="AM27" s="78" t="s">
        <v>750</v>
      </c>
      <c r="AN27" s="13" t="s">
        <v>1892</v>
      </c>
      <c r="AO27" s="106"/>
    </row>
    <row r="28" spans="1:41" x14ac:dyDescent="0.25">
      <c r="A28" s="70">
        <v>27</v>
      </c>
      <c r="B28" s="70">
        <v>832078</v>
      </c>
      <c r="C28" s="71" t="s">
        <v>24</v>
      </c>
      <c r="D28" s="71" t="s">
        <v>486</v>
      </c>
      <c r="E28" s="70" t="s">
        <v>483</v>
      </c>
      <c r="F28" s="70" t="s">
        <v>484</v>
      </c>
      <c r="G28" s="72" t="s">
        <v>595</v>
      </c>
      <c r="H28" s="71" t="s">
        <v>669</v>
      </c>
      <c r="I28" s="160" t="s">
        <v>1849</v>
      </c>
      <c r="J28" s="73" t="s">
        <v>3407</v>
      </c>
      <c r="K28" s="71" t="s">
        <v>561</v>
      </c>
      <c r="L28" s="71" t="s">
        <v>803</v>
      </c>
      <c r="M28" s="72" t="s">
        <v>804</v>
      </c>
      <c r="N28" s="72" t="s">
        <v>638</v>
      </c>
      <c r="O28" s="70" t="s">
        <v>395</v>
      </c>
      <c r="P28" s="88" t="s">
        <v>485</v>
      </c>
      <c r="Q28" s="74" t="s">
        <v>373</v>
      </c>
      <c r="R28" s="70"/>
      <c r="S28" s="74"/>
      <c r="T28" s="75" t="s">
        <v>696</v>
      </c>
      <c r="U28" s="76"/>
      <c r="V28" s="76"/>
      <c r="W28" s="77"/>
      <c r="X28" s="77"/>
      <c r="Y28" s="279">
        <f t="shared" si="0"/>
        <v>0</v>
      </c>
      <c r="Z28" s="77"/>
      <c r="AA28" s="77"/>
      <c r="AB28" s="77"/>
      <c r="AC28" s="77"/>
      <c r="AD28" s="279">
        <f t="shared" si="1"/>
        <v>0</v>
      </c>
      <c r="AE28" s="57"/>
      <c r="AF28" s="57"/>
      <c r="AG28" s="281">
        <f t="shared" si="2"/>
        <v>0</v>
      </c>
      <c r="AH28" s="283">
        <f t="shared" si="3"/>
        <v>0</v>
      </c>
      <c r="AI28" s="59" t="s">
        <v>486</v>
      </c>
      <c r="AJ28" s="58"/>
      <c r="AK28" s="59"/>
      <c r="AL28" s="89">
        <v>203045</v>
      </c>
      <c r="AM28" s="78" t="s">
        <v>746</v>
      </c>
      <c r="AN28" s="13" t="s">
        <v>1892</v>
      </c>
    </row>
    <row r="29" spans="1:41" x14ac:dyDescent="0.25">
      <c r="A29" s="70">
        <v>28</v>
      </c>
      <c r="B29" s="70">
        <v>832089</v>
      </c>
      <c r="C29" s="71" t="s">
        <v>25</v>
      </c>
      <c r="D29" s="71" t="s">
        <v>490</v>
      </c>
      <c r="E29" s="70" t="s">
        <v>487</v>
      </c>
      <c r="F29" s="70" t="s">
        <v>488</v>
      </c>
      <c r="G29" s="72" t="s">
        <v>1250</v>
      </c>
      <c r="H29" s="71" t="s">
        <v>1251</v>
      </c>
      <c r="I29" s="160" t="s">
        <v>1849</v>
      </c>
      <c r="J29" s="73" t="s">
        <v>3408</v>
      </c>
      <c r="K29" s="71" t="s">
        <v>805</v>
      </c>
      <c r="L29" s="71" t="s">
        <v>622</v>
      </c>
      <c r="M29" s="72" t="s">
        <v>806</v>
      </c>
      <c r="N29" s="72" t="s">
        <v>3415</v>
      </c>
      <c r="O29" s="70" t="s">
        <v>395</v>
      </c>
      <c r="P29" s="88" t="s">
        <v>489</v>
      </c>
      <c r="Q29" s="74" t="s">
        <v>373</v>
      </c>
      <c r="R29" s="70"/>
      <c r="S29" s="74"/>
      <c r="T29" s="75" t="s">
        <v>697</v>
      </c>
      <c r="U29" s="76"/>
      <c r="V29" s="76"/>
      <c r="W29" s="77"/>
      <c r="X29" s="77"/>
      <c r="Y29" s="279">
        <f t="shared" si="0"/>
        <v>0</v>
      </c>
      <c r="Z29" s="77"/>
      <c r="AA29" s="77"/>
      <c r="AB29" s="77"/>
      <c r="AC29" s="77"/>
      <c r="AD29" s="279">
        <f t="shared" si="1"/>
        <v>0</v>
      </c>
      <c r="AE29" s="57"/>
      <c r="AF29" s="57"/>
      <c r="AG29" s="281">
        <f t="shared" si="2"/>
        <v>0</v>
      </c>
      <c r="AH29" s="283">
        <f t="shared" si="3"/>
        <v>0</v>
      </c>
      <c r="AI29" s="60" t="s">
        <v>490</v>
      </c>
      <c r="AJ29" s="58"/>
      <c r="AK29" s="60"/>
      <c r="AL29" s="89">
        <v>203046</v>
      </c>
      <c r="AM29" s="78" t="s">
        <v>747</v>
      </c>
      <c r="AN29" s="13" t="s">
        <v>1892</v>
      </c>
      <c r="AO29" s="2"/>
    </row>
    <row r="30" spans="1:41" x14ac:dyDescent="0.25">
      <c r="A30" s="70">
        <v>29</v>
      </c>
      <c r="B30" s="70">
        <v>832090</v>
      </c>
      <c r="C30" s="71" t="s">
        <v>26</v>
      </c>
      <c r="D30" s="71" t="s">
        <v>494</v>
      </c>
      <c r="E30" s="70" t="s">
        <v>491</v>
      </c>
      <c r="F30" s="70" t="s">
        <v>492</v>
      </c>
      <c r="G30" s="72" t="s">
        <v>596</v>
      </c>
      <c r="H30" s="71" t="s">
        <v>562</v>
      </c>
      <c r="I30" s="160" t="s">
        <v>1849</v>
      </c>
      <c r="J30" s="73" t="s">
        <v>855</v>
      </c>
      <c r="K30" s="86" t="s">
        <v>807</v>
      </c>
      <c r="L30" s="71" t="s">
        <v>808</v>
      </c>
      <c r="M30" s="72" t="s">
        <v>809</v>
      </c>
      <c r="N30" s="72" t="s">
        <v>810</v>
      </c>
      <c r="O30" s="70" t="s">
        <v>395</v>
      </c>
      <c r="P30" s="88" t="s">
        <v>493</v>
      </c>
      <c r="Q30" s="74" t="s">
        <v>373</v>
      </c>
      <c r="R30" s="70"/>
      <c r="S30" s="74"/>
      <c r="T30" s="75" t="s">
        <v>698</v>
      </c>
      <c r="U30" s="76"/>
      <c r="V30" s="76"/>
      <c r="W30" s="77"/>
      <c r="X30" s="77"/>
      <c r="Y30" s="279">
        <f t="shared" si="0"/>
        <v>0</v>
      </c>
      <c r="Z30" s="77"/>
      <c r="AA30" s="77"/>
      <c r="AB30" s="77"/>
      <c r="AC30" s="77"/>
      <c r="AD30" s="279">
        <f t="shared" si="1"/>
        <v>0</v>
      </c>
      <c r="AE30" s="57"/>
      <c r="AF30" s="57"/>
      <c r="AG30" s="281">
        <f t="shared" si="2"/>
        <v>0</v>
      </c>
      <c r="AH30" s="283">
        <f t="shared" si="3"/>
        <v>0</v>
      </c>
      <c r="AI30" s="59" t="s">
        <v>494</v>
      </c>
      <c r="AJ30" s="58"/>
      <c r="AK30" s="59"/>
      <c r="AL30" s="89">
        <v>203047</v>
      </c>
      <c r="AM30" s="78" t="s">
        <v>748</v>
      </c>
      <c r="AN30" s="13" t="s">
        <v>1892</v>
      </c>
    </row>
    <row r="31" spans="1:41" x14ac:dyDescent="0.25">
      <c r="A31" s="70">
        <v>30</v>
      </c>
      <c r="B31" s="70">
        <v>832122</v>
      </c>
      <c r="C31" s="71" t="s">
        <v>27</v>
      </c>
      <c r="D31" s="71" t="s">
        <v>504</v>
      </c>
      <c r="E31" s="70" t="s">
        <v>501</v>
      </c>
      <c r="F31" s="70" t="s">
        <v>502</v>
      </c>
      <c r="G31" s="72" t="s">
        <v>599</v>
      </c>
      <c r="H31" s="71" t="s">
        <v>565</v>
      </c>
      <c r="I31" s="160" t="s">
        <v>1849</v>
      </c>
      <c r="J31" s="73" t="s">
        <v>3409</v>
      </c>
      <c r="K31" s="71" t="s">
        <v>816</v>
      </c>
      <c r="L31" s="71" t="s">
        <v>670</v>
      </c>
      <c r="M31" s="72" t="s">
        <v>817</v>
      </c>
      <c r="N31" s="72" t="s">
        <v>818</v>
      </c>
      <c r="O31" s="70" t="s">
        <v>395</v>
      </c>
      <c r="P31" s="88" t="s">
        <v>503</v>
      </c>
      <c r="Q31" s="74" t="s">
        <v>373</v>
      </c>
      <c r="R31" s="70"/>
      <c r="S31" s="74"/>
      <c r="T31" s="75" t="s">
        <v>701</v>
      </c>
      <c r="U31" s="76"/>
      <c r="V31" s="76"/>
      <c r="W31" s="77"/>
      <c r="X31" s="77"/>
      <c r="Y31" s="279">
        <f t="shared" si="0"/>
        <v>0</v>
      </c>
      <c r="Z31" s="77"/>
      <c r="AA31" s="77"/>
      <c r="AB31" s="77"/>
      <c r="AC31" s="77"/>
      <c r="AD31" s="279">
        <f t="shared" si="1"/>
        <v>0</v>
      </c>
      <c r="AE31" s="57"/>
      <c r="AF31" s="57"/>
      <c r="AG31" s="281">
        <f t="shared" si="2"/>
        <v>0</v>
      </c>
      <c r="AH31" s="283">
        <f t="shared" si="3"/>
        <v>0</v>
      </c>
      <c r="AI31" s="59" t="s">
        <v>504</v>
      </c>
      <c r="AJ31" s="58"/>
      <c r="AK31" s="59"/>
      <c r="AL31" s="89">
        <v>203050</v>
      </c>
      <c r="AM31" s="78" t="s">
        <v>751</v>
      </c>
      <c r="AN31" s="13" t="s">
        <v>1892</v>
      </c>
    </row>
    <row r="32" spans="1:41" x14ac:dyDescent="0.25">
      <c r="A32" s="70">
        <v>31</v>
      </c>
      <c r="B32" s="70">
        <v>832133</v>
      </c>
      <c r="C32" s="71" t="s">
        <v>28</v>
      </c>
      <c r="D32" s="71" t="s">
        <v>508</v>
      </c>
      <c r="E32" s="70" t="s">
        <v>505</v>
      </c>
      <c r="F32" s="70" t="s">
        <v>506</v>
      </c>
      <c r="G32" s="72" t="s">
        <v>600</v>
      </c>
      <c r="H32" s="71" t="s">
        <v>566</v>
      </c>
      <c r="I32" s="160" t="s">
        <v>1849</v>
      </c>
      <c r="J32" s="73" t="s">
        <v>857</v>
      </c>
      <c r="K32" s="71" t="s">
        <v>625</v>
      </c>
      <c r="L32" s="71" t="s">
        <v>819</v>
      </c>
      <c r="M32" s="72" t="s">
        <v>625</v>
      </c>
      <c r="N32" s="72" t="s">
        <v>639</v>
      </c>
      <c r="O32" s="70" t="s">
        <v>395</v>
      </c>
      <c r="P32" s="88" t="s">
        <v>507</v>
      </c>
      <c r="Q32" s="74" t="s">
        <v>373</v>
      </c>
      <c r="R32" s="70"/>
      <c r="S32" s="74"/>
      <c r="T32" s="75" t="s">
        <v>702</v>
      </c>
      <c r="U32" s="76"/>
      <c r="V32" s="76"/>
      <c r="W32" s="77"/>
      <c r="X32" s="77"/>
      <c r="Y32" s="279">
        <f t="shared" si="0"/>
        <v>0</v>
      </c>
      <c r="Z32" s="77"/>
      <c r="AA32" s="77"/>
      <c r="AB32" s="77"/>
      <c r="AC32" s="77"/>
      <c r="AD32" s="279">
        <f t="shared" si="1"/>
        <v>0</v>
      </c>
      <c r="AE32" s="57"/>
      <c r="AF32" s="57"/>
      <c r="AG32" s="281">
        <f t="shared" si="2"/>
        <v>0</v>
      </c>
      <c r="AH32" s="283">
        <f t="shared" si="3"/>
        <v>0</v>
      </c>
      <c r="AI32" s="59" t="s">
        <v>508</v>
      </c>
      <c r="AJ32" s="58"/>
      <c r="AK32" s="59"/>
      <c r="AL32" s="89">
        <v>203051</v>
      </c>
      <c r="AM32" s="78" t="s">
        <v>752</v>
      </c>
      <c r="AN32" s="13" t="s">
        <v>1892</v>
      </c>
    </row>
    <row r="33" spans="1:40" x14ac:dyDescent="0.25">
      <c r="A33" s="70">
        <v>32</v>
      </c>
      <c r="B33" s="70">
        <v>832144</v>
      </c>
      <c r="C33" s="71" t="s">
        <v>29</v>
      </c>
      <c r="D33" s="71" t="s">
        <v>512</v>
      </c>
      <c r="E33" s="70" t="s">
        <v>509</v>
      </c>
      <c r="F33" s="70" t="s">
        <v>510</v>
      </c>
      <c r="G33" s="72" t="s">
        <v>601</v>
      </c>
      <c r="H33" s="71" t="s">
        <v>773</v>
      </c>
      <c r="I33" s="160" t="s">
        <v>1849</v>
      </c>
      <c r="J33" s="73" t="s">
        <v>858</v>
      </c>
      <c r="K33" s="71" t="s">
        <v>671</v>
      </c>
      <c r="L33" s="71" t="s">
        <v>820</v>
      </c>
      <c r="M33" s="72" t="s">
        <v>821</v>
      </c>
      <c r="N33" s="72" t="s">
        <v>640</v>
      </c>
      <c r="O33" s="70" t="s">
        <v>395</v>
      </c>
      <c r="P33" s="88" t="s">
        <v>511</v>
      </c>
      <c r="Q33" s="74" t="s">
        <v>373</v>
      </c>
      <c r="R33" s="70"/>
      <c r="S33" s="74"/>
      <c r="T33" s="75" t="s">
        <v>703</v>
      </c>
      <c r="U33" s="76"/>
      <c r="V33" s="76"/>
      <c r="W33" s="77"/>
      <c r="X33" s="77"/>
      <c r="Y33" s="279">
        <f t="shared" si="0"/>
        <v>0</v>
      </c>
      <c r="Z33" s="77"/>
      <c r="AA33" s="77"/>
      <c r="AB33" s="77"/>
      <c r="AC33" s="77"/>
      <c r="AD33" s="279">
        <f t="shared" si="1"/>
        <v>0</v>
      </c>
      <c r="AE33" s="57"/>
      <c r="AF33" s="57"/>
      <c r="AG33" s="281">
        <f t="shared" si="2"/>
        <v>0</v>
      </c>
      <c r="AH33" s="283">
        <f t="shared" si="3"/>
        <v>0</v>
      </c>
      <c r="AI33" s="59" t="s">
        <v>512</v>
      </c>
      <c r="AJ33" s="58"/>
      <c r="AK33" s="59"/>
      <c r="AL33" s="89">
        <v>203052</v>
      </c>
      <c r="AM33" s="78" t="s">
        <v>753</v>
      </c>
      <c r="AN33" s="13" t="s">
        <v>1892</v>
      </c>
    </row>
    <row r="34" spans="1:40" x14ac:dyDescent="0.25">
      <c r="A34" s="70">
        <v>33</v>
      </c>
      <c r="B34" s="70">
        <v>832155</v>
      </c>
      <c r="C34" s="71" t="s">
        <v>30</v>
      </c>
      <c r="D34" s="71" t="s">
        <v>516</v>
      </c>
      <c r="E34" s="70" t="s">
        <v>513</v>
      </c>
      <c r="F34" s="70" t="s">
        <v>514</v>
      </c>
      <c r="G34" s="72" t="s">
        <v>602</v>
      </c>
      <c r="H34" s="71" t="s">
        <v>567</v>
      </c>
      <c r="I34" s="160" t="s">
        <v>1849</v>
      </c>
      <c r="J34" s="73" t="s">
        <v>1254</v>
      </c>
      <c r="K34" s="71" t="s">
        <v>1906</v>
      </c>
      <c r="L34" s="71" t="s">
        <v>1255</v>
      </c>
      <c r="M34" s="72" t="s">
        <v>822</v>
      </c>
      <c r="N34" s="72" t="s">
        <v>641</v>
      </c>
      <c r="O34" s="70" t="s">
        <v>395</v>
      </c>
      <c r="P34" s="88" t="s">
        <v>515</v>
      </c>
      <c r="Q34" s="74" t="s">
        <v>373</v>
      </c>
      <c r="R34" s="70"/>
      <c r="S34" s="74"/>
      <c r="T34" s="75" t="s">
        <v>704</v>
      </c>
      <c r="U34" s="76"/>
      <c r="V34" s="76"/>
      <c r="W34" s="77"/>
      <c r="X34" s="77"/>
      <c r="Y34" s="279">
        <f t="shared" si="0"/>
        <v>0</v>
      </c>
      <c r="Z34" s="77"/>
      <c r="AA34" s="77"/>
      <c r="AB34" s="77"/>
      <c r="AC34" s="77"/>
      <c r="AD34" s="279">
        <f t="shared" si="1"/>
        <v>0</v>
      </c>
      <c r="AE34" s="57"/>
      <c r="AF34" s="57"/>
      <c r="AG34" s="281">
        <f t="shared" si="2"/>
        <v>0</v>
      </c>
      <c r="AH34" s="283">
        <f t="shared" si="3"/>
        <v>0</v>
      </c>
      <c r="AI34" s="59" t="s">
        <v>516</v>
      </c>
      <c r="AJ34" s="58"/>
      <c r="AK34" s="59"/>
      <c r="AL34" s="89">
        <v>203053</v>
      </c>
      <c r="AM34" s="78" t="s">
        <v>754</v>
      </c>
      <c r="AN34" s="13" t="s">
        <v>1892</v>
      </c>
    </row>
    <row r="35" spans="1:40" x14ac:dyDescent="0.25">
      <c r="A35" s="70">
        <v>34</v>
      </c>
      <c r="B35" s="70">
        <v>832177</v>
      </c>
      <c r="C35" s="71" t="s">
        <v>31</v>
      </c>
      <c r="D35" s="71" t="s">
        <v>523</v>
      </c>
      <c r="E35" s="70" t="s">
        <v>520</v>
      </c>
      <c r="F35" s="70" t="s">
        <v>521</v>
      </c>
      <c r="G35" s="72" t="s">
        <v>604</v>
      </c>
      <c r="H35" s="71" t="s">
        <v>3431</v>
      </c>
      <c r="I35" s="160" t="s">
        <v>1849</v>
      </c>
      <c r="J35" s="73" t="s">
        <v>859</v>
      </c>
      <c r="K35" s="71" t="s">
        <v>825</v>
      </c>
      <c r="L35" s="71" t="s">
        <v>672</v>
      </c>
      <c r="M35" s="72" t="s">
        <v>626</v>
      </c>
      <c r="N35" s="72" t="s">
        <v>713</v>
      </c>
      <c r="O35" s="70" t="s">
        <v>395</v>
      </c>
      <c r="P35" s="88" t="s">
        <v>522</v>
      </c>
      <c r="Q35" s="74" t="s">
        <v>373</v>
      </c>
      <c r="R35" s="70"/>
      <c r="S35" s="74"/>
      <c r="T35" s="75" t="s">
        <v>706</v>
      </c>
      <c r="U35" s="76"/>
      <c r="V35" s="76"/>
      <c r="W35" s="77"/>
      <c r="X35" s="77"/>
      <c r="Y35" s="279">
        <f t="shared" si="0"/>
        <v>0</v>
      </c>
      <c r="Z35" s="77"/>
      <c r="AA35" s="77"/>
      <c r="AB35" s="77"/>
      <c r="AC35" s="77"/>
      <c r="AD35" s="279">
        <f t="shared" si="1"/>
        <v>0</v>
      </c>
      <c r="AE35" s="57"/>
      <c r="AF35" s="57"/>
      <c r="AG35" s="281">
        <f t="shared" si="2"/>
        <v>0</v>
      </c>
      <c r="AH35" s="283">
        <f t="shared" si="3"/>
        <v>0</v>
      </c>
      <c r="AI35" s="59" t="s">
        <v>523</v>
      </c>
      <c r="AJ35" s="58"/>
      <c r="AK35" s="59"/>
      <c r="AL35" s="89">
        <v>203055</v>
      </c>
      <c r="AM35" s="78" t="s">
        <v>756</v>
      </c>
      <c r="AN35" s="13" t="s">
        <v>1892</v>
      </c>
    </row>
    <row r="36" spans="1:40" x14ac:dyDescent="0.25">
      <c r="A36" s="70">
        <v>35</v>
      </c>
      <c r="B36" s="70">
        <v>832188</v>
      </c>
      <c r="C36" s="71" t="s">
        <v>826</v>
      </c>
      <c r="D36" s="71" t="s">
        <v>827</v>
      </c>
      <c r="E36" s="70" t="s">
        <v>524</v>
      </c>
      <c r="F36" s="70" t="s">
        <v>525</v>
      </c>
      <c r="G36" s="72" t="s">
        <v>605</v>
      </c>
      <c r="H36" s="71" t="s">
        <v>569</v>
      </c>
      <c r="I36" s="160" t="s">
        <v>1849</v>
      </c>
      <c r="J36" s="73" t="s">
        <v>860</v>
      </c>
      <c r="K36" s="71" t="s">
        <v>570</v>
      </c>
      <c r="L36" s="71" t="s">
        <v>673</v>
      </c>
      <c r="M36" s="72" t="s">
        <v>828</v>
      </c>
      <c r="N36" s="72" t="s">
        <v>829</v>
      </c>
      <c r="O36" s="70" t="s">
        <v>395</v>
      </c>
      <c r="P36" s="88" t="s">
        <v>526</v>
      </c>
      <c r="Q36" s="74" t="s">
        <v>373</v>
      </c>
      <c r="R36" s="70"/>
      <c r="S36" s="74"/>
      <c r="T36" s="75" t="s">
        <v>707</v>
      </c>
      <c r="U36" s="76"/>
      <c r="V36" s="76"/>
      <c r="W36" s="77"/>
      <c r="X36" s="77"/>
      <c r="Y36" s="279">
        <f t="shared" si="0"/>
        <v>0</v>
      </c>
      <c r="Z36" s="77"/>
      <c r="AA36" s="77"/>
      <c r="AB36" s="77"/>
      <c r="AC36" s="77"/>
      <c r="AD36" s="279">
        <f t="shared" si="1"/>
        <v>0</v>
      </c>
      <c r="AE36" s="57"/>
      <c r="AF36" s="57"/>
      <c r="AG36" s="281">
        <f t="shared" si="2"/>
        <v>0</v>
      </c>
      <c r="AH36" s="283">
        <f t="shared" si="3"/>
        <v>0</v>
      </c>
      <c r="AI36" s="59" t="s">
        <v>527</v>
      </c>
      <c r="AJ36" s="58"/>
      <c r="AK36" s="59"/>
      <c r="AL36" s="89">
        <v>203056</v>
      </c>
      <c r="AM36" s="78" t="s">
        <v>757</v>
      </c>
      <c r="AN36" s="13" t="s">
        <v>1892</v>
      </c>
    </row>
    <row r="37" spans="1:40" x14ac:dyDescent="0.25">
      <c r="A37" s="70">
        <v>36</v>
      </c>
      <c r="B37" s="70">
        <v>845391</v>
      </c>
      <c r="C37" s="71" t="s">
        <v>32</v>
      </c>
      <c r="D37" s="71" t="s">
        <v>531</v>
      </c>
      <c r="E37" s="70" t="s">
        <v>1258</v>
      </c>
      <c r="F37" s="70" t="s">
        <v>1259</v>
      </c>
      <c r="G37" s="72" t="s">
        <v>3433</v>
      </c>
      <c r="H37" s="71" t="s">
        <v>1260</v>
      </c>
      <c r="I37" s="160" t="s">
        <v>1849</v>
      </c>
      <c r="J37" s="73" t="s">
        <v>1261</v>
      </c>
      <c r="K37" s="71" t="s">
        <v>1262</v>
      </c>
      <c r="L37" s="71" t="s">
        <v>1932</v>
      </c>
      <c r="M37" s="72" t="s">
        <v>830</v>
      </c>
      <c r="N37" s="72" t="s">
        <v>831</v>
      </c>
      <c r="O37" s="70" t="s">
        <v>395</v>
      </c>
      <c r="P37" s="88">
        <v>388495</v>
      </c>
      <c r="Q37" s="74" t="s">
        <v>373</v>
      </c>
      <c r="R37" s="70"/>
      <c r="S37" s="74"/>
      <c r="T37" s="75" t="s">
        <v>709</v>
      </c>
      <c r="U37" s="76"/>
      <c r="V37" s="76"/>
      <c r="W37" s="77"/>
      <c r="X37" s="77"/>
      <c r="Y37" s="279">
        <f t="shared" si="0"/>
        <v>0</v>
      </c>
      <c r="Z37" s="77"/>
      <c r="AA37" s="77"/>
      <c r="AB37" s="77"/>
      <c r="AC37" s="77"/>
      <c r="AD37" s="279">
        <f t="shared" si="1"/>
        <v>0</v>
      </c>
      <c r="AE37" s="57"/>
      <c r="AF37" s="57"/>
      <c r="AG37" s="281">
        <f t="shared" si="2"/>
        <v>0</v>
      </c>
      <c r="AH37" s="283">
        <f t="shared" si="3"/>
        <v>0</v>
      </c>
      <c r="AI37" s="59" t="s">
        <v>531</v>
      </c>
      <c r="AJ37" s="58"/>
      <c r="AK37" s="59"/>
      <c r="AL37" s="89">
        <v>203064</v>
      </c>
      <c r="AM37" s="81" t="s">
        <v>1925</v>
      </c>
      <c r="AN37" s="13" t="s">
        <v>1892</v>
      </c>
    </row>
    <row r="38" spans="1:40" x14ac:dyDescent="0.25">
      <c r="A38" s="70">
        <v>37</v>
      </c>
      <c r="B38" s="70">
        <v>832166</v>
      </c>
      <c r="C38" s="71" t="s">
        <v>928</v>
      </c>
      <c r="D38" s="71" t="s">
        <v>1256</v>
      </c>
      <c r="E38" s="70" t="s">
        <v>517</v>
      </c>
      <c r="F38" s="70" t="s">
        <v>518</v>
      </c>
      <c r="G38" s="72" t="s">
        <v>603</v>
      </c>
      <c r="H38" s="71" t="s">
        <v>774</v>
      </c>
      <c r="I38" s="160" t="s">
        <v>1849</v>
      </c>
      <c r="J38" s="73" t="s">
        <v>1933</v>
      </c>
      <c r="K38" s="71" t="s">
        <v>775</v>
      </c>
      <c r="L38" s="71" t="s">
        <v>823</v>
      </c>
      <c r="M38" s="72" t="s">
        <v>824</v>
      </c>
      <c r="N38" s="72" t="s">
        <v>3414</v>
      </c>
      <c r="O38" s="70" t="s">
        <v>395</v>
      </c>
      <c r="P38" s="88" t="s">
        <v>519</v>
      </c>
      <c r="Q38" s="74" t="s">
        <v>373</v>
      </c>
      <c r="R38" s="70"/>
      <c r="S38" s="74"/>
      <c r="T38" s="75" t="s">
        <v>705</v>
      </c>
      <c r="U38" s="76"/>
      <c r="V38" s="76"/>
      <c r="W38" s="77"/>
      <c r="X38" s="77"/>
      <c r="Y38" s="279">
        <f t="shared" si="0"/>
        <v>0</v>
      </c>
      <c r="Z38" s="77"/>
      <c r="AA38" s="77"/>
      <c r="AB38" s="77"/>
      <c r="AC38" s="77"/>
      <c r="AD38" s="279">
        <f t="shared" si="1"/>
        <v>0</v>
      </c>
      <c r="AE38" s="57"/>
      <c r="AF38" s="57"/>
      <c r="AG38" s="281">
        <f t="shared" si="2"/>
        <v>0</v>
      </c>
      <c r="AH38" s="283">
        <f t="shared" si="3"/>
        <v>0</v>
      </c>
      <c r="AI38" s="59" t="s">
        <v>1257</v>
      </c>
      <c r="AJ38" s="58"/>
      <c r="AK38" s="59"/>
      <c r="AL38" s="89">
        <v>203054</v>
      </c>
      <c r="AM38" s="78" t="s">
        <v>755</v>
      </c>
      <c r="AN38" s="13" t="s">
        <v>1892</v>
      </c>
    </row>
    <row r="39" spans="1:40" x14ac:dyDescent="0.25">
      <c r="A39" s="70">
        <v>38</v>
      </c>
      <c r="B39" s="70">
        <v>832221</v>
      </c>
      <c r="C39" s="71" t="s">
        <v>33</v>
      </c>
      <c r="D39" s="71" t="s">
        <v>535</v>
      </c>
      <c r="E39" s="70" t="s">
        <v>532</v>
      </c>
      <c r="F39" s="70" t="s">
        <v>533</v>
      </c>
      <c r="G39" s="72" t="s">
        <v>607</v>
      </c>
      <c r="H39" s="71" t="s">
        <v>572</v>
      </c>
      <c r="I39" s="160" t="s">
        <v>1849</v>
      </c>
      <c r="J39" s="73" t="s">
        <v>861</v>
      </c>
      <c r="K39" s="71" t="s">
        <v>832</v>
      </c>
      <c r="L39" s="71" t="s">
        <v>833</v>
      </c>
      <c r="M39" s="71" t="s">
        <v>833</v>
      </c>
      <c r="N39" s="71" t="s">
        <v>834</v>
      </c>
      <c r="O39" s="70" t="s">
        <v>395</v>
      </c>
      <c r="P39" s="88" t="s">
        <v>534</v>
      </c>
      <c r="Q39" s="74" t="s">
        <v>373</v>
      </c>
      <c r="R39" s="70"/>
      <c r="S39" s="74"/>
      <c r="T39" s="75" t="s">
        <v>710</v>
      </c>
      <c r="U39" s="76"/>
      <c r="V39" s="76"/>
      <c r="W39" s="77"/>
      <c r="X39" s="77"/>
      <c r="Y39" s="279">
        <f t="shared" si="0"/>
        <v>0</v>
      </c>
      <c r="Z39" s="77"/>
      <c r="AA39" s="77"/>
      <c r="AB39" s="77"/>
      <c r="AC39" s="77"/>
      <c r="AD39" s="279">
        <f t="shared" si="1"/>
        <v>0</v>
      </c>
      <c r="AE39" s="57"/>
      <c r="AF39" s="57"/>
      <c r="AG39" s="281">
        <f t="shared" si="2"/>
        <v>0</v>
      </c>
      <c r="AH39" s="283">
        <f t="shared" si="3"/>
        <v>0</v>
      </c>
      <c r="AI39" s="59" t="s">
        <v>535</v>
      </c>
      <c r="AJ39" s="58"/>
      <c r="AK39" s="59"/>
      <c r="AL39" s="89">
        <v>203065</v>
      </c>
      <c r="AM39" s="78" t="s">
        <v>760</v>
      </c>
      <c r="AN39" s="13" t="s">
        <v>1892</v>
      </c>
    </row>
    <row r="40" spans="1:40" x14ac:dyDescent="0.25">
      <c r="A40" s="70">
        <v>39</v>
      </c>
      <c r="B40" s="70">
        <v>832209</v>
      </c>
      <c r="C40" s="71" t="s">
        <v>778</v>
      </c>
      <c r="D40" s="71" t="s">
        <v>835</v>
      </c>
      <c r="E40" s="70" t="s">
        <v>528</v>
      </c>
      <c r="F40" s="70" t="s">
        <v>529</v>
      </c>
      <c r="G40" s="72" t="s">
        <v>606</v>
      </c>
      <c r="H40" s="71" t="s">
        <v>571</v>
      </c>
      <c r="I40" s="160" t="s">
        <v>1849</v>
      </c>
      <c r="J40" s="73" t="s">
        <v>862</v>
      </c>
      <c r="K40" s="71" t="s">
        <v>759</v>
      </c>
      <c r="L40" s="71" t="s">
        <v>3412</v>
      </c>
      <c r="M40" s="72" t="s">
        <v>836</v>
      </c>
      <c r="N40" s="72" t="s">
        <v>837</v>
      </c>
      <c r="O40" s="70" t="s">
        <v>395</v>
      </c>
      <c r="P40" s="88" t="s">
        <v>530</v>
      </c>
      <c r="Q40" s="74" t="s">
        <v>373</v>
      </c>
      <c r="R40" s="70"/>
      <c r="S40" s="74"/>
      <c r="T40" s="75" t="s">
        <v>708</v>
      </c>
      <c r="U40" s="76"/>
      <c r="V40" s="76"/>
      <c r="W40" s="77"/>
      <c r="X40" s="77"/>
      <c r="Y40" s="279">
        <f t="shared" si="0"/>
        <v>0</v>
      </c>
      <c r="Z40" s="77"/>
      <c r="AA40" s="77"/>
      <c r="AB40" s="77"/>
      <c r="AC40" s="77"/>
      <c r="AD40" s="279">
        <f t="shared" si="1"/>
        <v>0</v>
      </c>
      <c r="AE40" s="57"/>
      <c r="AF40" s="57"/>
      <c r="AG40" s="281">
        <f t="shared" si="2"/>
        <v>0</v>
      </c>
      <c r="AH40" s="283">
        <f t="shared" si="3"/>
        <v>0</v>
      </c>
      <c r="AI40" s="59" t="s">
        <v>835</v>
      </c>
      <c r="AJ40" s="58"/>
      <c r="AK40" s="59"/>
      <c r="AL40" s="89">
        <v>203062</v>
      </c>
      <c r="AM40" s="78" t="s">
        <v>758</v>
      </c>
      <c r="AN40" s="13" t="s">
        <v>1892</v>
      </c>
    </row>
    <row r="41" spans="1:40" x14ac:dyDescent="0.25">
      <c r="A41" s="70">
        <v>40</v>
      </c>
      <c r="B41" s="70">
        <v>832232</v>
      </c>
      <c r="C41" s="71" t="s">
        <v>34</v>
      </c>
      <c r="D41" s="71" t="s">
        <v>539</v>
      </c>
      <c r="E41" s="70" t="s">
        <v>536</v>
      </c>
      <c r="F41" s="70" t="s">
        <v>537</v>
      </c>
      <c r="G41" s="72" t="s">
        <v>608</v>
      </c>
      <c r="H41" s="71" t="s">
        <v>1263</v>
      </c>
      <c r="I41" s="160" t="s">
        <v>1849</v>
      </c>
      <c r="J41" s="73" t="s">
        <v>1264</v>
      </c>
      <c r="K41" s="71" t="s">
        <v>1907</v>
      </c>
      <c r="L41" s="71" t="s">
        <v>1908</v>
      </c>
      <c r="M41" s="72" t="s">
        <v>1908</v>
      </c>
      <c r="N41" s="72" t="s">
        <v>3413</v>
      </c>
      <c r="O41" s="70" t="s">
        <v>395</v>
      </c>
      <c r="P41" s="88" t="s">
        <v>538</v>
      </c>
      <c r="Q41" s="74" t="s">
        <v>373</v>
      </c>
      <c r="R41" s="70"/>
      <c r="S41" s="74"/>
      <c r="T41" s="75" t="s">
        <v>2</v>
      </c>
      <c r="U41" s="76"/>
      <c r="V41" s="76"/>
      <c r="W41" s="77"/>
      <c r="X41" s="77"/>
      <c r="Y41" s="279">
        <f t="shared" si="0"/>
        <v>0</v>
      </c>
      <c r="Z41" s="77"/>
      <c r="AA41" s="77"/>
      <c r="AB41" s="77"/>
      <c r="AC41" s="77"/>
      <c r="AD41" s="279">
        <f t="shared" si="1"/>
        <v>0</v>
      </c>
      <c r="AE41" s="57"/>
      <c r="AF41" s="57"/>
      <c r="AG41" s="281">
        <f t="shared" si="2"/>
        <v>0</v>
      </c>
      <c r="AH41" s="283">
        <f t="shared" si="3"/>
        <v>0</v>
      </c>
      <c r="AI41" s="59" t="s">
        <v>539</v>
      </c>
      <c r="AJ41" s="58"/>
      <c r="AK41" s="59"/>
      <c r="AL41" s="89">
        <v>203066</v>
      </c>
      <c r="AM41" s="78" t="s">
        <v>761</v>
      </c>
      <c r="AN41" s="13" t="s">
        <v>1892</v>
      </c>
    </row>
    <row r="42" spans="1:40" x14ac:dyDescent="0.25">
      <c r="A42" s="70">
        <v>41</v>
      </c>
      <c r="B42" s="70">
        <v>832243</v>
      </c>
      <c r="C42" s="71" t="s">
        <v>35</v>
      </c>
      <c r="D42" s="71" t="s">
        <v>543</v>
      </c>
      <c r="E42" s="74" t="s">
        <v>540</v>
      </c>
      <c r="F42" s="70" t="s">
        <v>541</v>
      </c>
      <c r="G42" s="71" t="s">
        <v>609</v>
      </c>
      <c r="H42" s="71" t="s">
        <v>573</v>
      </c>
      <c r="I42" s="160" t="s">
        <v>1849</v>
      </c>
      <c r="J42" s="73" t="s">
        <v>863</v>
      </c>
      <c r="K42" s="71" t="s">
        <v>838</v>
      </c>
      <c r="L42" s="71" t="s">
        <v>627</v>
      </c>
      <c r="M42" s="72" t="s">
        <v>839</v>
      </c>
      <c r="N42" s="72" t="s">
        <v>840</v>
      </c>
      <c r="O42" s="70" t="s">
        <v>395</v>
      </c>
      <c r="P42" s="88" t="s">
        <v>542</v>
      </c>
      <c r="Q42" s="74" t="s">
        <v>373</v>
      </c>
      <c r="R42" s="70"/>
      <c r="S42" s="74"/>
      <c r="T42" s="75" t="s">
        <v>711</v>
      </c>
      <c r="U42" s="76"/>
      <c r="V42" s="76"/>
      <c r="W42" s="77"/>
      <c r="X42" s="77"/>
      <c r="Y42" s="279">
        <f t="shared" si="0"/>
        <v>0</v>
      </c>
      <c r="Z42" s="77"/>
      <c r="AA42" s="77"/>
      <c r="AB42" s="77"/>
      <c r="AC42" s="77"/>
      <c r="AD42" s="279">
        <f t="shared" si="1"/>
        <v>0</v>
      </c>
      <c r="AE42" s="57"/>
      <c r="AF42" s="57"/>
      <c r="AG42" s="281">
        <f t="shared" si="2"/>
        <v>0</v>
      </c>
      <c r="AH42" s="283">
        <f t="shared" si="3"/>
        <v>0</v>
      </c>
      <c r="AI42" s="59" t="s">
        <v>543</v>
      </c>
      <c r="AJ42" s="58"/>
      <c r="AK42" s="59"/>
      <c r="AL42" s="88">
        <v>203067</v>
      </c>
      <c r="AM42" s="87" t="s">
        <v>762</v>
      </c>
      <c r="AN42" s="13" t="s">
        <v>1892</v>
      </c>
    </row>
    <row r="43" spans="1:40" x14ac:dyDescent="0.25">
      <c r="A43" s="70">
        <v>42</v>
      </c>
      <c r="B43" s="70">
        <v>823489</v>
      </c>
      <c r="C43" s="71" t="s">
        <v>1781</v>
      </c>
      <c r="D43" s="71" t="s">
        <v>1711</v>
      </c>
      <c r="E43" s="74" t="s">
        <v>1836</v>
      </c>
      <c r="F43" s="70" t="s">
        <v>1808</v>
      </c>
      <c r="G43" s="71" t="s">
        <v>1807</v>
      </c>
      <c r="H43" s="71" t="s">
        <v>1810</v>
      </c>
      <c r="I43" s="160" t="s">
        <v>1849</v>
      </c>
      <c r="J43" s="73"/>
      <c r="K43" s="79"/>
      <c r="L43" s="79"/>
      <c r="M43" s="72" t="s">
        <v>1910</v>
      </c>
      <c r="N43" s="72" t="s">
        <v>1911</v>
      </c>
      <c r="O43" s="70">
        <v>853200</v>
      </c>
      <c r="P43" s="88">
        <v>342317</v>
      </c>
      <c r="Q43" s="74" t="s">
        <v>373</v>
      </c>
      <c r="R43" s="74"/>
      <c r="S43" s="74"/>
      <c r="T43" s="75" t="s">
        <v>1</v>
      </c>
      <c r="U43" s="76"/>
      <c r="V43" s="76"/>
      <c r="W43" s="77"/>
      <c r="X43" s="77"/>
      <c r="Y43" s="279">
        <f t="shared" si="0"/>
        <v>0</v>
      </c>
      <c r="Z43" s="77"/>
      <c r="AA43" s="77"/>
      <c r="AB43" s="77"/>
      <c r="AC43" s="77"/>
      <c r="AD43" s="279">
        <f t="shared" si="1"/>
        <v>0</v>
      </c>
      <c r="AE43" s="57"/>
      <c r="AF43" s="57"/>
      <c r="AG43" s="281">
        <f t="shared" si="2"/>
        <v>0</v>
      </c>
      <c r="AH43" s="283">
        <f t="shared" si="3"/>
        <v>0</v>
      </c>
      <c r="AI43" s="71" t="s">
        <v>1711</v>
      </c>
      <c r="AJ43" s="58"/>
      <c r="AK43" s="74"/>
      <c r="AL43" s="88">
        <v>202728</v>
      </c>
      <c r="AM43" s="156" t="s">
        <v>1920</v>
      </c>
      <c r="AN43" s="13" t="s">
        <v>1892</v>
      </c>
    </row>
    <row r="44" spans="1:40" x14ac:dyDescent="0.25">
      <c r="A44" s="70">
        <v>43</v>
      </c>
      <c r="B44" s="70">
        <v>329914</v>
      </c>
      <c r="C44" s="71" t="s">
        <v>1782</v>
      </c>
      <c r="D44" s="71" t="s">
        <v>1722</v>
      </c>
      <c r="E44" s="74" t="s">
        <v>1835</v>
      </c>
      <c r="F44" s="70" t="s">
        <v>1812</v>
      </c>
      <c r="G44" s="71" t="s">
        <v>1811</v>
      </c>
      <c r="H44" s="71" t="s">
        <v>1813</v>
      </c>
      <c r="I44" s="160" t="s">
        <v>1849</v>
      </c>
      <c r="J44" s="73"/>
      <c r="K44" s="79"/>
      <c r="L44" s="79"/>
      <c r="M44" s="72" t="s">
        <v>1912</v>
      </c>
      <c r="N44" s="72" t="s">
        <v>1913</v>
      </c>
      <c r="O44" s="70">
        <v>853200</v>
      </c>
      <c r="P44" s="88">
        <v>234285</v>
      </c>
      <c r="Q44" s="74" t="s">
        <v>373</v>
      </c>
      <c r="R44" s="74"/>
      <c r="S44" s="74"/>
      <c r="T44" s="75" t="s">
        <v>705</v>
      </c>
      <c r="U44" s="76"/>
      <c r="V44" s="76"/>
      <c r="W44" s="77"/>
      <c r="X44" s="77"/>
      <c r="Y44" s="279">
        <f t="shared" si="0"/>
        <v>0</v>
      </c>
      <c r="Z44" s="77"/>
      <c r="AA44" s="77"/>
      <c r="AB44" s="77"/>
      <c r="AC44" s="77"/>
      <c r="AD44" s="279">
        <f t="shared" si="1"/>
        <v>0</v>
      </c>
      <c r="AE44" s="57"/>
      <c r="AF44" s="57"/>
      <c r="AG44" s="281">
        <f t="shared" si="2"/>
        <v>0</v>
      </c>
      <c r="AH44" s="283">
        <f t="shared" si="3"/>
        <v>0</v>
      </c>
      <c r="AI44" s="71" t="s">
        <v>1722</v>
      </c>
      <c r="AJ44" s="58"/>
      <c r="AK44" s="74"/>
      <c r="AL44" s="88" t="s">
        <v>1814</v>
      </c>
      <c r="AM44" s="157" t="s">
        <v>1921</v>
      </c>
      <c r="AN44" s="13" t="s">
        <v>1892</v>
      </c>
    </row>
    <row r="45" spans="1:40" x14ac:dyDescent="0.25">
      <c r="A45" s="70">
        <v>44</v>
      </c>
      <c r="B45" s="70">
        <v>823258</v>
      </c>
      <c r="C45" s="71" t="s">
        <v>1783</v>
      </c>
      <c r="D45" s="71" t="s">
        <v>1734</v>
      </c>
      <c r="E45" s="74" t="s">
        <v>1815</v>
      </c>
      <c r="F45" s="70" t="s">
        <v>1816</v>
      </c>
      <c r="G45" s="71" t="s">
        <v>1745</v>
      </c>
      <c r="H45" s="71" t="s">
        <v>1817</v>
      </c>
      <c r="I45" s="160" t="s">
        <v>1849</v>
      </c>
      <c r="J45" s="73"/>
      <c r="K45" s="79"/>
      <c r="L45" s="79"/>
      <c r="M45" s="72" t="s">
        <v>1914</v>
      </c>
      <c r="N45" s="72" t="s">
        <v>1915</v>
      </c>
      <c r="O45" s="70">
        <v>853200</v>
      </c>
      <c r="P45" s="88">
        <v>342451</v>
      </c>
      <c r="Q45" s="74" t="s">
        <v>373</v>
      </c>
      <c r="R45" s="74"/>
      <c r="S45" s="74"/>
      <c r="T45" s="75" t="s">
        <v>696</v>
      </c>
      <c r="U45" s="76"/>
      <c r="V45" s="76"/>
      <c r="W45" s="77"/>
      <c r="X45" s="77"/>
      <c r="Y45" s="279">
        <f t="shared" si="0"/>
        <v>0</v>
      </c>
      <c r="Z45" s="77"/>
      <c r="AA45" s="77"/>
      <c r="AB45" s="77"/>
      <c r="AC45" s="77"/>
      <c r="AD45" s="279">
        <f t="shared" si="1"/>
        <v>0</v>
      </c>
      <c r="AE45" s="57"/>
      <c r="AF45" s="57"/>
      <c r="AG45" s="281">
        <f t="shared" si="2"/>
        <v>0</v>
      </c>
      <c r="AH45" s="283">
        <f t="shared" si="3"/>
        <v>0</v>
      </c>
      <c r="AI45" s="71" t="s">
        <v>1734</v>
      </c>
      <c r="AJ45" s="58"/>
      <c r="AK45" s="74"/>
      <c r="AL45" s="88" t="s">
        <v>1818</v>
      </c>
      <c r="AM45" s="158" t="s">
        <v>1922</v>
      </c>
      <c r="AN45" s="13" t="s">
        <v>1892</v>
      </c>
    </row>
    <row r="46" spans="1:40" x14ac:dyDescent="0.25">
      <c r="A46" s="70">
        <v>45</v>
      </c>
      <c r="B46" s="70">
        <v>833008</v>
      </c>
      <c r="C46" s="71" t="s">
        <v>1784</v>
      </c>
      <c r="D46" s="71" t="s">
        <v>1747</v>
      </c>
      <c r="E46" s="74" t="s">
        <v>1819</v>
      </c>
      <c r="F46" s="70" t="s">
        <v>1820</v>
      </c>
      <c r="G46" s="71" t="s">
        <v>1755</v>
      </c>
      <c r="H46" s="71" t="s">
        <v>1821</v>
      </c>
      <c r="I46" s="160" t="s">
        <v>1849</v>
      </c>
      <c r="J46" s="73"/>
      <c r="K46" s="79"/>
      <c r="L46" s="79"/>
      <c r="M46" s="72" t="s">
        <v>1916</v>
      </c>
      <c r="N46" s="72" t="s">
        <v>1917</v>
      </c>
      <c r="O46" s="70">
        <v>853200</v>
      </c>
      <c r="P46" s="88">
        <v>355240</v>
      </c>
      <c r="Q46" s="74" t="s">
        <v>373</v>
      </c>
      <c r="R46" s="74"/>
      <c r="S46" s="74"/>
      <c r="T46" s="75" t="s">
        <v>702</v>
      </c>
      <c r="U46" s="76"/>
      <c r="V46" s="76"/>
      <c r="W46" s="77"/>
      <c r="X46" s="77"/>
      <c r="Y46" s="279">
        <f t="shared" si="0"/>
        <v>0</v>
      </c>
      <c r="Z46" s="77"/>
      <c r="AA46" s="77"/>
      <c r="AB46" s="77"/>
      <c r="AC46" s="77"/>
      <c r="AD46" s="279">
        <f t="shared" si="1"/>
        <v>0</v>
      </c>
      <c r="AE46" s="57"/>
      <c r="AF46" s="57"/>
      <c r="AG46" s="281">
        <f t="shared" si="2"/>
        <v>0</v>
      </c>
      <c r="AH46" s="283">
        <f t="shared" si="3"/>
        <v>0</v>
      </c>
      <c r="AI46" s="71" t="s">
        <v>1747</v>
      </c>
      <c r="AJ46" s="58"/>
      <c r="AK46" s="74"/>
      <c r="AL46" s="88" t="s">
        <v>1822</v>
      </c>
      <c r="AM46" s="157" t="s">
        <v>1923</v>
      </c>
      <c r="AN46" s="13" t="s">
        <v>1892</v>
      </c>
    </row>
    <row r="47" spans="1:40" x14ac:dyDescent="0.25">
      <c r="A47" s="70">
        <v>46</v>
      </c>
      <c r="B47" s="70">
        <v>823171</v>
      </c>
      <c r="C47" s="71" t="s">
        <v>1799</v>
      </c>
      <c r="D47" s="71" t="s">
        <v>1803</v>
      </c>
      <c r="E47" s="74" t="s">
        <v>1834</v>
      </c>
      <c r="F47" s="70" t="s">
        <v>1824</v>
      </c>
      <c r="G47" s="71" t="s">
        <v>1823</v>
      </c>
      <c r="H47" s="71" t="s">
        <v>1825</v>
      </c>
      <c r="I47" s="160" t="s">
        <v>1849</v>
      </c>
      <c r="J47" s="73"/>
      <c r="K47" s="79"/>
      <c r="L47" s="79"/>
      <c r="M47" s="72" t="s">
        <v>1918</v>
      </c>
      <c r="N47" s="72" t="s">
        <v>1919</v>
      </c>
      <c r="O47" s="70">
        <v>853200</v>
      </c>
      <c r="P47" s="88">
        <v>342339</v>
      </c>
      <c r="Q47" s="74" t="s">
        <v>373</v>
      </c>
      <c r="R47" s="74"/>
      <c r="S47" s="74"/>
      <c r="T47" s="75" t="s">
        <v>0</v>
      </c>
      <c r="U47" s="76"/>
      <c r="V47" s="76"/>
      <c r="W47" s="77"/>
      <c r="X47" s="77"/>
      <c r="Y47" s="279">
        <f t="shared" si="0"/>
        <v>0</v>
      </c>
      <c r="Z47" s="77"/>
      <c r="AA47" s="77"/>
      <c r="AB47" s="77"/>
      <c r="AC47" s="77"/>
      <c r="AD47" s="279">
        <f t="shared" si="1"/>
        <v>0</v>
      </c>
      <c r="AE47" s="57"/>
      <c r="AF47" s="57"/>
      <c r="AG47" s="281">
        <f t="shared" si="2"/>
        <v>0</v>
      </c>
      <c r="AH47" s="283">
        <f t="shared" si="3"/>
        <v>0</v>
      </c>
      <c r="AI47" s="71" t="s">
        <v>1803</v>
      </c>
      <c r="AJ47" s="58"/>
      <c r="AK47" s="74"/>
      <c r="AL47" s="88" t="s">
        <v>1826</v>
      </c>
      <c r="AM47" s="157" t="s">
        <v>1924</v>
      </c>
      <c r="AN47" s="13" t="s">
        <v>1892</v>
      </c>
    </row>
    <row r="48" spans="1:40" x14ac:dyDescent="0.25">
      <c r="A48" s="70">
        <v>47</v>
      </c>
      <c r="B48" s="70">
        <v>720904</v>
      </c>
      <c r="C48" s="71" t="s">
        <v>1789</v>
      </c>
      <c r="D48" s="71" t="s">
        <v>1785</v>
      </c>
      <c r="E48" s="74" t="s">
        <v>1828</v>
      </c>
      <c r="F48" s="70" t="s">
        <v>1829</v>
      </c>
      <c r="G48" s="71" t="s">
        <v>1827</v>
      </c>
      <c r="H48" s="71" t="s">
        <v>1830</v>
      </c>
      <c r="I48" s="160" t="s">
        <v>1850</v>
      </c>
      <c r="J48" s="73"/>
      <c r="K48" s="79"/>
      <c r="L48" s="79"/>
      <c r="M48" s="72" t="s">
        <v>1885</v>
      </c>
      <c r="N48" s="72" t="s">
        <v>1888</v>
      </c>
      <c r="O48" s="70">
        <v>853200</v>
      </c>
      <c r="P48" s="88" t="s">
        <v>1831</v>
      </c>
      <c r="Q48" s="74" t="s">
        <v>373</v>
      </c>
      <c r="R48" s="74"/>
      <c r="S48" s="74"/>
      <c r="T48" s="75" t="s">
        <v>1771</v>
      </c>
      <c r="U48" s="76"/>
      <c r="V48" s="76"/>
      <c r="W48" s="77"/>
      <c r="X48" s="77"/>
      <c r="Y48" s="279">
        <f t="shared" si="0"/>
        <v>0</v>
      </c>
      <c r="Z48" s="77"/>
      <c r="AA48" s="77"/>
      <c r="AB48" s="77"/>
      <c r="AC48" s="77"/>
      <c r="AD48" s="279">
        <f t="shared" si="1"/>
        <v>0</v>
      </c>
      <c r="AE48" s="57"/>
      <c r="AF48" s="57"/>
      <c r="AG48" s="281">
        <f t="shared" si="2"/>
        <v>0</v>
      </c>
      <c r="AH48" s="283">
        <f t="shared" si="3"/>
        <v>0</v>
      </c>
      <c r="AI48" s="71" t="s">
        <v>1785</v>
      </c>
      <c r="AJ48" s="58"/>
      <c r="AK48" s="74"/>
      <c r="AL48" s="88" t="s">
        <v>1840</v>
      </c>
      <c r="AM48" s="87" t="s">
        <v>1884</v>
      </c>
      <c r="AN48" s="13" t="s">
        <v>1892</v>
      </c>
    </row>
    <row r="49" spans="1:40" x14ac:dyDescent="0.25">
      <c r="A49" s="70">
        <v>48</v>
      </c>
      <c r="B49" s="70">
        <v>722667</v>
      </c>
      <c r="C49" s="71" t="s">
        <v>1790</v>
      </c>
      <c r="D49" s="71" t="s">
        <v>1773</v>
      </c>
      <c r="E49" s="74" t="s">
        <v>1833</v>
      </c>
      <c r="F49" s="70" t="s">
        <v>1837</v>
      </c>
      <c r="G49" s="71" t="s">
        <v>1832</v>
      </c>
      <c r="H49" s="71" t="s">
        <v>1838</v>
      </c>
      <c r="I49" s="160" t="s">
        <v>1850</v>
      </c>
      <c r="J49" s="73"/>
      <c r="K49" s="79"/>
      <c r="L49" s="79"/>
      <c r="M49" s="72" t="s">
        <v>1887</v>
      </c>
      <c r="N49" s="72" t="s">
        <v>1889</v>
      </c>
      <c r="O49" s="70">
        <v>853200</v>
      </c>
      <c r="P49" s="88" t="s">
        <v>1839</v>
      </c>
      <c r="Q49" s="74" t="s">
        <v>373</v>
      </c>
      <c r="R49" s="74"/>
      <c r="S49" s="74"/>
      <c r="T49" s="75" t="s">
        <v>694</v>
      </c>
      <c r="U49" s="76"/>
      <c r="V49" s="76"/>
      <c r="W49" s="77"/>
      <c r="X49" s="77"/>
      <c r="Y49" s="279">
        <f t="shared" si="0"/>
        <v>0</v>
      </c>
      <c r="Z49" s="77"/>
      <c r="AA49" s="77"/>
      <c r="AB49" s="77"/>
      <c r="AC49" s="77"/>
      <c r="AD49" s="279">
        <f t="shared" si="1"/>
        <v>0</v>
      </c>
      <c r="AE49" s="57"/>
      <c r="AF49" s="57"/>
      <c r="AG49" s="281">
        <f t="shared" si="2"/>
        <v>0</v>
      </c>
      <c r="AH49" s="283">
        <f t="shared" si="3"/>
        <v>0</v>
      </c>
      <c r="AI49" s="71" t="s">
        <v>1773</v>
      </c>
      <c r="AJ49" s="58"/>
      <c r="AK49" s="74"/>
      <c r="AL49" s="88" t="s">
        <v>1774</v>
      </c>
      <c r="AM49" s="87" t="s">
        <v>1886</v>
      </c>
      <c r="AN49" s="13" t="s">
        <v>1892</v>
      </c>
    </row>
    <row r="50" spans="1:40" x14ac:dyDescent="0.25">
      <c r="A50" s="70">
        <v>49</v>
      </c>
      <c r="B50" s="70">
        <v>816014</v>
      </c>
      <c r="C50" s="71" t="s">
        <v>1787</v>
      </c>
      <c r="D50" s="71" t="s">
        <v>1786</v>
      </c>
      <c r="E50" s="74" t="s">
        <v>1852</v>
      </c>
      <c r="F50" s="70" t="s">
        <v>1853</v>
      </c>
      <c r="G50" s="71" t="s">
        <v>1851</v>
      </c>
      <c r="H50" s="71" t="s">
        <v>1854</v>
      </c>
      <c r="I50" s="160" t="s">
        <v>1850</v>
      </c>
      <c r="J50" s="73"/>
      <c r="K50" s="79"/>
      <c r="L50" s="79"/>
      <c r="M50" s="80"/>
      <c r="N50" s="80"/>
      <c r="O50" s="70">
        <v>853200</v>
      </c>
      <c r="P50" s="88" t="s">
        <v>1855</v>
      </c>
      <c r="Q50" s="74" t="s">
        <v>373</v>
      </c>
      <c r="R50" s="70"/>
      <c r="S50" s="74"/>
      <c r="T50" s="75" t="s">
        <v>681</v>
      </c>
      <c r="U50" s="76"/>
      <c r="V50" s="76"/>
      <c r="W50" s="77"/>
      <c r="X50" s="77"/>
      <c r="Y50" s="279">
        <f t="shared" si="0"/>
        <v>0</v>
      </c>
      <c r="Z50" s="77"/>
      <c r="AA50" s="77"/>
      <c r="AB50" s="77"/>
      <c r="AC50" s="77"/>
      <c r="AD50" s="279">
        <f t="shared" si="1"/>
        <v>0</v>
      </c>
      <c r="AE50" s="57"/>
      <c r="AF50" s="57"/>
      <c r="AG50" s="281">
        <f t="shared" si="2"/>
        <v>0</v>
      </c>
      <c r="AH50" s="283">
        <f t="shared" si="3"/>
        <v>0</v>
      </c>
      <c r="AI50" s="71" t="s">
        <v>1786</v>
      </c>
      <c r="AJ50" s="58"/>
      <c r="AK50" s="74"/>
      <c r="AL50" s="88" t="s">
        <v>1864</v>
      </c>
      <c r="AM50" s="288"/>
      <c r="AN50" s="289"/>
    </row>
    <row r="51" spans="1:40" x14ac:dyDescent="0.25">
      <c r="A51" s="70">
        <v>50</v>
      </c>
      <c r="B51" s="70">
        <v>714174</v>
      </c>
      <c r="C51" s="71" t="s">
        <v>1788</v>
      </c>
      <c r="D51" s="71" t="s">
        <v>1776</v>
      </c>
      <c r="E51" s="74" t="s">
        <v>1857</v>
      </c>
      <c r="F51" s="70" t="s">
        <v>1858</v>
      </c>
      <c r="G51" s="71" t="s">
        <v>1856</v>
      </c>
      <c r="H51" s="71" t="s">
        <v>1859</v>
      </c>
      <c r="I51" s="160" t="s">
        <v>1860</v>
      </c>
      <c r="J51" s="73"/>
      <c r="K51" s="79"/>
      <c r="L51" s="79"/>
      <c r="M51" s="80"/>
      <c r="N51" s="80"/>
      <c r="O51" s="70">
        <v>842211</v>
      </c>
      <c r="P51" s="88" t="s">
        <v>1861</v>
      </c>
      <c r="Q51" s="74" t="s">
        <v>373</v>
      </c>
      <c r="R51" s="70"/>
      <c r="S51" s="74"/>
      <c r="T51" s="75" t="s">
        <v>1775</v>
      </c>
      <c r="U51" s="76"/>
      <c r="V51" s="76"/>
      <c r="W51" s="77"/>
      <c r="X51" s="77"/>
      <c r="Y51" s="279">
        <f t="shared" si="0"/>
        <v>0</v>
      </c>
      <c r="Z51" s="77"/>
      <c r="AA51" s="77"/>
      <c r="AB51" s="77"/>
      <c r="AC51" s="77"/>
      <c r="AD51" s="279">
        <f t="shared" si="1"/>
        <v>0</v>
      </c>
      <c r="AE51" s="57"/>
      <c r="AF51" s="57"/>
      <c r="AG51" s="281">
        <f t="shared" si="2"/>
        <v>0</v>
      </c>
      <c r="AH51" s="283">
        <f t="shared" si="3"/>
        <v>0</v>
      </c>
      <c r="AI51" s="71" t="s">
        <v>1776</v>
      </c>
      <c r="AJ51" s="58"/>
      <c r="AK51" s="74"/>
      <c r="AL51" s="88" t="s">
        <v>1865</v>
      </c>
      <c r="AM51" s="288"/>
      <c r="AN51" s="289"/>
    </row>
    <row r="52" spans="1:40" x14ac:dyDescent="0.25">
      <c r="A52" s="13"/>
      <c r="B52" s="13"/>
      <c r="C52" s="13"/>
      <c r="D52" s="13"/>
      <c r="E52" s="13"/>
      <c r="F52" s="159"/>
      <c r="G52" s="13"/>
      <c r="H52" s="14"/>
      <c r="I52" s="161"/>
      <c r="J52" s="15"/>
      <c r="K52" s="14"/>
      <c r="L52" s="14"/>
      <c r="M52" s="14"/>
      <c r="N52" s="14"/>
      <c r="O52" s="13"/>
      <c r="P52" s="13"/>
      <c r="Q52" s="13"/>
      <c r="R52" s="159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59" t="s">
        <v>714</v>
      </c>
      <c r="AH52" s="61">
        <f>SUMIF(AH2:AH51,"&lt;0")</f>
        <v>0</v>
      </c>
      <c r="AI52" s="13"/>
      <c r="AJ52" s="13"/>
      <c r="AK52" s="13"/>
      <c r="AL52" s="13"/>
      <c r="AM52" s="13"/>
    </row>
  </sheetData>
  <sortState ref="A2:AO42">
    <sortCondition ref="D2:D42"/>
  </sortState>
  <conditionalFormatting sqref="R2:S51">
    <cfRule type="containsBlanks" dxfId="357" priority="4">
      <formula>LEN(TRIM(R2))=0</formula>
    </cfRule>
  </conditionalFormatting>
  <hyperlinks>
    <hyperlink ref="N30" r:id="rId1"/>
    <hyperlink ref="J33" r:id="rId2" display="avramucz.mihaly@szakkepzesszeged.hu; 30/647-3556_x000a_; 62/554-560"/>
    <hyperlink ref="J17" r:id="rId3" display="fabri.eufrozina@egriszc.hu"/>
    <hyperlink ref="J14" r:id="rId4" display="kancellar@eszc.eu; 70/709-4132 "/>
  </hyperlinks>
  <pageMargins left="0.70866141732283472" right="0.70866141732283472" top="0.74803149606299213" bottom="0.74803149606299213" header="0.31496062992125984" footer="0.31496062992125984"/>
  <pageSetup paperSize="8" scale="50" orientation="landscape" r:id="rId5"/>
  <ignoredErrors>
    <ignoredError sqref="AL44:AL48 P48:P49 AL49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00"/>
  <sheetViews>
    <sheetView topLeftCell="AG1" zoomScale="80" zoomScaleNormal="80" workbookViewId="0">
      <selection activeCell="AM1" sqref="AM1:AM1048576"/>
    </sheetView>
  </sheetViews>
  <sheetFormatPr defaultColWidth="9.28515625" defaultRowHeight="15" x14ac:dyDescent="0.25"/>
  <cols>
    <col min="1" max="1" width="67" style="3" customWidth="1"/>
    <col min="2" max="2" width="4.28515625" style="3" customWidth="1"/>
    <col min="3" max="3" width="37.28515625" style="3" customWidth="1"/>
    <col min="4" max="4" width="54.5703125" style="3" bestFit="1" customWidth="1"/>
    <col min="5" max="5" width="4.28515625" style="3" customWidth="1"/>
    <col min="6" max="6" width="34.85546875" style="3" customWidth="1"/>
    <col min="7" max="7" width="50.140625" style="3" bestFit="1" customWidth="1"/>
    <col min="8" max="8" width="130.7109375" style="3" bestFit="1" customWidth="1"/>
    <col min="9" max="9" width="4.42578125" style="3" customWidth="1"/>
    <col min="10" max="10" width="90.85546875" style="3" bestFit="1" customWidth="1"/>
    <col min="11" max="11" width="4.28515625" style="3" customWidth="1"/>
    <col min="12" max="12" width="94" style="3" customWidth="1"/>
    <col min="13" max="13" width="15.85546875" style="3" customWidth="1"/>
    <col min="14" max="14" width="99.7109375" style="3" bestFit="1" customWidth="1"/>
    <col min="15" max="15" width="19.5703125" style="3" customWidth="1"/>
    <col min="16" max="16" width="3.5703125" style="3" customWidth="1"/>
    <col min="17" max="19" width="99.7109375" style="3" bestFit="1" customWidth="1"/>
    <col min="20" max="20" width="20.5703125" style="3" customWidth="1"/>
    <col min="21" max="21" width="99.7109375" style="3" bestFit="1" customWidth="1"/>
    <col min="22" max="22" width="20.140625" style="3" customWidth="1"/>
    <col min="23" max="23" width="4.5703125" style="3" customWidth="1"/>
    <col min="24" max="24" width="110.7109375" style="3" bestFit="1" customWidth="1"/>
    <col min="25" max="25" width="4.28515625" style="3" customWidth="1"/>
    <col min="26" max="26" width="28.5703125" style="3" customWidth="1"/>
    <col min="27" max="27" width="4.28515625" style="3" customWidth="1"/>
    <col min="28" max="28" width="52.140625" style="3" bestFit="1" customWidth="1"/>
    <col min="29" max="29" width="16.7109375" style="3" bestFit="1" customWidth="1"/>
    <col min="30" max="30" width="9.28515625" style="3"/>
    <col min="31" max="31" width="52.140625" style="3" bestFit="1" customWidth="1"/>
    <col min="32" max="32" width="13.28515625" style="3" customWidth="1"/>
    <col min="33" max="33" width="9.28515625" style="3"/>
    <col min="34" max="34" width="52.140625" style="3" bestFit="1" customWidth="1"/>
    <col min="35" max="35" width="12.42578125" style="3" bestFit="1" customWidth="1"/>
    <col min="36" max="36" width="9.28515625" style="3"/>
    <col min="37" max="37" width="94.5703125" style="3" bestFit="1" customWidth="1"/>
    <col min="38" max="38" width="9.28515625" style="3"/>
    <col min="39" max="39" width="93.85546875" style="3" bestFit="1" customWidth="1"/>
    <col min="40" max="40" width="9.28515625" style="3"/>
    <col min="41" max="41" width="93.85546875" style="3" bestFit="1" customWidth="1"/>
    <col min="42" max="16384" width="9.28515625" style="3"/>
  </cols>
  <sheetData>
    <row r="1" spans="1:41" ht="60" x14ac:dyDescent="0.25">
      <c r="A1" s="34" t="s">
        <v>1613</v>
      </c>
      <c r="B1" s="1"/>
      <c r="C1" s="36" t="s">
        <v>1777</v>
      </c>
      <c r="D1" s="37" t="s">
        <v>1778</v>
      </c>
      <c r="E1" s="1"/>
      <c r="F1" s="1" t="s">
        <v>1800</v>
      </c>
      <c r="G1" s="45" t="s">
        <v>1778</v>
      </c>
      <c r="H1" s="19" t="s">
        <v>1798</v>
      </c>
      <c r="I1" s="1"/>
      <c r="J1" s="1" t="s">
        <v>36</v>
      </c>
      <c r="K1" s="1"/>
      <c r="L1" s="1" t="s">
        <v>1863</v>
      </c>
      <c r="M1" s="1" t="s">
        <v>1876</v>
      </c>
      <c r="N1" s="1" t="s">
        <v>1841</v>
      </c>
      <c r="O1" s="1" t="s">
        <v>1842</v>
      </c>
      <c r="Q1" s="1" t="s">
        <v>1871</v>
      </c>
      <c r="R1" s="1" t="s">
        <v>1844</v>
      </c>
      <c r="S1" s="1" t="s">
        <v>1872</v>
      </c>
      <c r="T1" s="1" t="s">
        <v>1843</v>
      </c>
      <c r="U1" s="1" t="s">
        <v>1845</v>
      </c>
      <c r="V1" s="1" t="s">
        <v>1843</v>
      </c>
      <c r="W1" s="12"/>
      <c r="X1" s="1" t="s">
        <v>39</v>
      </c>
      <c r="Y1" s="1"/>
      <c r="Z1" s="1" t="s">
        <v>40</v>
      </c>
      <c r="AA1" s="1"/>
      <c r="AB1" s="290" t="s">
        <v>3213</v>
      </c>
      <c r="AC1" s="179" t="s">
        <v>1277</v>
      </c>
      <c r="AE1" s="290" t="s">
        <v>3213</v>
      </c>
      <c r="AF1" s="291" t="s">
        <v>1277</v>
      </c>
      <c r="AH1" s="290" t="s">
        <v>3389</v>
      </c>
      <c r="AI1" s="291" t="s">
        <v>1277</v>
      </c>
      <c r="AK1" s="94" t="s">
        <v>3761</v>
      </c>
      <c r="AM1" s="94" t="s">
        <v>3764</v>
      </c>
    </row>
    <row r="2" spans="1:41" ht="15" customHeight="1" x14ac:dyDescent="0.25">
      <c r="A2" s="35" t="s">
        <v>1615</v>
      </c>
      <c r="C2" s="35"/>
      <c r="D2" s="35" t="s">
        <v>1615</v>
      </c>
      <c r="E2" s="8"/>
      <c r="H2" s="6" t="s">
        <v>1781</v>
      </c>
      <c r="J2" s="3" t="s">
        <v>38</v>
      </c>
      <c r="L2" s="3" t="s">
        <v>380</v>
      </c>
      <c r="M2" s="103" t="s">
        <v>1862</v>
      </c>
      <c r="N2" s="3" t="s">
        <v>41</v>
      </c>
      <c r="O2" s="94">
        <v>3454301</v>
      </c>
      <c r="Q2" s="95" t="s">
        <v>380</v>
      </c>
      <c r="R2" s="3" t="s">
        <v>41</v>
      </c>
      <c r="S2" s="95" t="s">
        <v>380</v>
      </c>
      <c r="T2" s="94" t="s">
        <v>1862</v>
      </c>
      <c r="U2" s="3" t="s">
        <v>41</v>
      </c>
      <c r="V2" s="94">
        <v>3454301</v>
      </c>
      <c r="W2" s="93"/>
      <c r="X2" s="3" t="s">
        <v>380</v>
      </c>
      <c r="Z2" s="3" t="s">
        <v>37</v>
      </c>
      <c r="AB2" s="177" t="s">
        <v>41</v>
      </c>
      <c r="AC2" s="6" t="s">
        <v>3214</v>
      </c>
      <c r="AE2" s="177" t="s">
        <v>41</v>
      </c>
      <c r="AF2" s="292" t="s">
        <v>3214</v>
      </c>
      <c r="AH2" s="177" t="s">
        <v>41</v>
      </c>
      <c r="AI2" s="292" t="s">
        <v>3214</v>
      </c>
      <c r="AK2" s="3" t="s">
        <v>3722</v>
      </c>
      <c r="AM2" s="3" t="s">
        <v>2933</v>
      </c>
    </row>
    <row r="3" spans="1:41" ht="15" customHeight="1" x14ac:dyDescent="0.25">
      <c r="A3" s="35" t="s">
        <v>1772</v>
      </c>
      <c r="C3" s="35" t="s">
        <v>1615</v>
      </c>
      <c r="D3" s="35" t="s">
        <v>1781</v>
      </c>
      <c r="E3" s="4"/>
      <c r="F3" s="35" t="s">
        <v>1615</v>
      </c>
      <c r="G3" s="46" t="s">
        <v>1781</v>
      </c>
      <c r="H3" s="47" t="s">
        <v>1712</v>
      </c>
      <c r="J3" s="3" t="s">
        <v>643</v>
      </c>
      <c r="L3" s="3" t="s">
        <v>379</v>
      </c>
      <c r="M3" s="103" t="s">
        <v>1862</v>
      </c>
      <c r="N3" s="3" t="s">
        <v>42</v>
      </c>
      <c r="O3" s="94">
        <v>3458201</v>
      </c>
      <c r="Q3" s="95" t="s">
        <v>379</v>
      </c>
      <c r="R3" s="3" t="s">
        <v>42</v>
      </c>
      <c r="S3" s="95" t="s">
        <v>379</v>
      </c>
      <c r="T3" s="94" t="s">
        <v>1862</v>
      </c>
      <c r="U3" s="3" t="s">
        <v>42</v>
      </c>
      <c r="V3" s="94">
        <v>3458201</v>
      </c>
      <c r="W3" s="93"/>
      <c r="X3" s="3" t="s">
        <v>379</v>
      </c>
      <c r="Z3" s="3" t="s">
        <v>38</v>
      </c>
      <c r="AB3" s="177" t="s">
        <v>42</v>
      </c>
      <c r="AC3" s="6" t="s">
        <v>3215</v>
      </c>
      <c r="AE3" s="177" t="s">
        <v>42</v>
      </c>
      <c r="AF3" s="292" t="s">
        <v>3215</v>
      </c>
      <c r="AH3" s="177" t="s">
        <v>42</v>
      </c>
      <c r="AI3" s="292" t="s">
        <v>3215</v>
      </c>
      <c r="AK3" s="3" t="s">
        <v>46</v>
      </c>
      <c r="AM3" s="3" t="s">
        <v>3722</v>
      </c>
      <c r="AO3" s="106"/>
    </row>
    <row r="4" spans="1:41" ht="15" customHeight="1" x14ac:dyDescent="0.25">
      <c r="A4" s="35" t="s">
        <v>1779</v>
      </c>
      <c r="C4" s="35" t="s">
        <v>1615</v>
      </c>
      <c r="D4" s="35" t="s">
        <v>1782</v>
      </c>
      <c r="E4" s="4"/>
      <c r="F4" s="35" t="s">
        <v>1615</v>
      </c>
      <c r="G4" s="46" t="s">
        <v>1781</v>
      </c>
      <c r="H4" s="47" t="s">
        <v>1713</v>
      </c>
      <c r="J4" s="3" t="s">
        <v>715</v>
      </c>
      <c r="L4" s="3" t="s">
        <v>43</v>
      </c>
      <c r="M4" s="103" t="s">
        <v>1862</v>
      </c>
      <c r="N4" s="3" t="s">
        <v>44</v>
      </c>
      <c r="O4" s="94">
        <v>5562101</v>
      </c>
      <c r="Q4" s="95" t="s">
        <v>43</v>
      </c>
      <c r="R4" s="3" t="s">
        <v>44</v>
      </c>
      <c r="S4" s="95" t="s">
        <v>43</v>
      </c>
      <c r="T4" s="94" t="s">
        <v>1862</v>
      </c>
      <c r="U4" s="3" t="s">
        <v>44</v>
      </c>
      <c r="V4" s="94">
        <v>5562101</v>
      </c>
      <c r="W4" s="93"/>
      <c r="X4" s="3" t="s">
        <v>43</v>
      </c>
      <c r="Z4" s="3" t="s">
        <v>715</v>
      </c>
      <c r="AB4" s="177" t="s">
        <v>1284</v>
      </c>
      <c r="AC4" s="6" t="s">
        <v>3216</v>
      </c>
      <c r="AE4" s="177" t="s">
        <v>1284</v>
      </c>
      <c r="AF4" s="292" t="s">
        <v>3216</v>
      </c>
      <c r="AH4" s="177" t="s">
        <v>1284</v>
      </c>
      <c r="AI4" s="292" t="s">
        <v>3216</v>
      </c>
      <c r="AK4" s="3" t="s">
        <v>2855</v>
      </c>
      <c r="AM4" s="3" t="s">
        <v>2868</v>
      </c>
      <c r="AO4" s="106"/>
    </row>
    <row r="5" spans="1:41" ht="15" customHeight="1" x14ac:dyDescent="0.25">
      <c r="A5" s="35" t="s">
        <v>1780</v>
      </c>
      <c r="C5" s="35" t="s">
        <v>1615</v>
      </c>
      <c r="D5" s="35" t="s">
        <v>1783</v>
      </c>
      <c r="E5" s="4"/>
      <c r="F5" s="35" t="s">
        <v>1615</v>
      </c>
      <c r="G5" s="46" t="s">
        <v>1781</v>
      </c>
      <c r="H5" s="47" t="s">
        <v>1714</v>
      </c>
      <c r="J5" s="3" t="s">
        <v>776</v>
      </c>
      <c r="L5" s="3" t="s">
        <v>378</v>
      </c>
      <c r="M5" s="103" t="s">
        <v>1862</v>
      </c>
      <c r="N5" s="3" t="s">
        <v>46</v>
      </c>
      <c r="O5" s="94">
        <v>5534402</v>
      </c>
      <c r="Q5" s="95" t="s">
        <v>378</v>
      </c>
      <c r="R5" s="3" t="s">
        <v>46</v>
      </c>
      <c r="S5" s="95" t="s">
        <v>378</v>
      </c>
      <c r="T5" s="94" t="s">
        <v>1862</v>
      </c>
      <c r="U5" s="3" t="s">
        <v>46</v>
      </c>
      <c r="V5" s="94">
        <v>5534402</v>
      </c>
      <c r="W5" s="93"/>
      <c r="X5" s="3" t="s">
        <v>378</v>
      </c>
      <c r="Z5" s="3" t="s">
        <v>841</v>
      </c>
      <c r="AB5" s="177" t="s">
        <v>1286</v>
      </c>
      <c r="AC5" s="6" t="s">
        <v>3217</v>
      </c>
      <c r="AE5" s="177" t="s">
        <v>1286</v>
      </c>
      <c r="AF5" s="292" t="s">
        <v>3217</v>
      </c>
      <c r="AH5" s="177" t="s">
        <v>1286</v>
      </c>
      <c r="AI5" s="292" t="s">
        <v>3217</v>
      </c>
      <c r="AK5" s="3" t="s">
        <v>50</v>
      </c>
      <c r="AM5" s="3" t="s">
        <v>46</v>
      </c>
      <c r="AO5" s="106"/>
    </row>
    <row r="6" spans="1:41" ht="15" customHeight="1" x14ac:dyDescent="0.25">
      <c r="A6" s="106"/>
      <c r="C6" s="35" t="s">
        <v>1615</v>
      </c>
      <c r="D6" s="35" t="s">
        <v>1784</v>
      </c>
      <c r="E6" s="8"/>
      <c r="F6" s="35" t="s">
        <v>1615</v>
      </c>
      <c r="G6" s="46" t="s">
        <v>1781</v>
      </c>
      <c r="H6" s="47" t="s">
        <v>1715</v>
      </c>
      <c r="J6" s="3" t="s">
        <v>841</v>
      </c>
      <c r="L6" s="3" t="s">
        <v>41</v>
      </c>
      <c r="M6" s="3">
        <v>3454301</v>
      </c>
      <c r="N6" s="3" t="s">
        <v>45</v>
      </c>
      <c r="O6" s="94">
        <v>5434404</v>
      </c>
      <c r="Q6" s="3" t="s">
        <v>41</v>
      </c>
      <c r="R6" s="3" t="s">
        <v>45</v>
      </c>
      <c r="S6" s="3" t="s">
        <v>41</v>
      </c>
      <c r="T6" s="94">
        <v>3454301</v>
      </c>
      <c r="U6" s="3" t="s">
        <v>45</v>
      </c>
      <c r="V6" s="94">
        <v>5434404</v>
      </c>
      <c r="W6" s="93"/>
      <c r="Z6" s="3" t="s">
        <v>1268</v>
      </c>
      <c r="AB6" s="177" t="s">
        <v>52</v>
      </c>
      <c r="AC6" s="6" t="s">
        <v>3218</v>
      </c>
      <c r="AE6" s="177" t="s">
        <v>52</v>
      </c>
      <c r="AF6" s="292" t="s">
        <v>3218</v>
      </c>
      <c r="AH6" s="177" t="s">
        <v>52</v>
      </c>
      <c r="AI6" s="292" t="s">
        <v>3218</v>
      </c>
      <c r="AK6" s="3" t="s">
        <v>3563</v>
      </c>
      <c r="AM6" s="3" t="s">
        <v>2855</v>
      </c>
      <c r="AO6" s="106"/>
    </row>
    <row r="7" spans="1:41" ht="15" customHeight="1" x14ac:dyDescent="0.25">
      <c r="A7" s="106"/>
      <c r="C7" s="35" t="s">
        <v>1615</v>
      </c>
      <c r="D7" s="35" t="s">
        <v>1799</v>
      </c>
      <c r="E7" s="4"/>
      <c r="F7" s="35" t="s">
        <v>1615</v>
      </c>
      <c r="G7" s="46" t="s">
        <v>1781</v>
      </c>
      <c r="H7" s="47" t="s">
        <v>1716</v>
      </c>
      <c r="J7" s="3" t="s">
        <v>875</v>
      </c>
      <c r="L7" s="3" t="s">
        <v>42</v>
      </c>
      <c r="M7" s="3">
        <v>3458201</v>
      </c>
      <c r="N7" s="3" t="s">
        <v>644</v>
      </c>
      <c r="O7" s="94">
        <v>3462103</v>
      </c>
      <c r="Q7" s="3" t="s">
        <v>42</v>
      </c>
      <c r="R7" s="3" t="s">
        <v>47</v>
      </c>
      <c r="S7" s="3" t="s">
        <v>42</v>
      </c>
      <c r="T7" s="94">
        <v>3458201</v>
      </c>
      <c r="U7" s="3" t="s">
        <v>47</v>
      </c>
      <c r="V7" s="94">
        <v>3462103</v>
      </c>
      <c r="W7" s="93"/>
      <c r="X7" s="3" t="s">
        <v>1846</v>
      </c>
      <c r="Z7" s="106" t="s">
        <v>2828</v>
      </c>
      <c r="AB7" s="177" t="s">
        <v>56</v>
      </c>
      <c r="AC7" s="6" t="s">
        <v>3219</v>
      </c>
      <c r="AE7" s="177" t="s">
        <v>56</v>
      </c>
      <c r="AF7" s="292" t="s">
        <v>3219</v>
      </c>
      <c r="AH7" s="177" t="s">
        <v>56</v>
      </c>
      <c r="AI7" s="292" t="s">
        <v>3219</v>
      </c>
      <c r="AK7" s="3" t="s">
        <v>3565</v>
      </c>
      <c r="AM7" s="3" t="s">
        <v>3061</v>
      </c>
      <c r="AO7" s="106"/>
    </row>
    <row r="8" spans="1:41" ht="15" customHeight="1" x14ac:dyDescent="0.25">
      <c r="A8" s="106"/>
      <c r="C8" s="35"/>
      <c r="D8" s="40" t="s">
        <v>1772</v>
      </c>
      <c r="E8" s="8"/>
      <c r="F8" s="35" t="s">
        <v>1615</v>
      </c>
      <c r="G8" s="46" t="s">
        <v>1781</v>
      </c>
      <c r="H8" s="47" t="s">
        <v>1717</v>
      </c>
      <c r="J8" s="3" t="s">
        <v>1268</v>
      </c>
      <c r="L8" s="3" t="s">
        <v>44</v>
      </c>
      <c r="M8" s="3">
        <v>5562101</v>
      </c>
      <c r="N8" s="3" t="s">
        <v>48</v>
      </c>
      <c r="O8" s="94">
        <v>5462101</v>
      </c>
      <c r="Q8" s="3" t="s">
        <v>44</v>
      </c>
      <c r="R8" s="3" t="s">
        <v>48</v>
      </c>
      <c r="S8" s="3" t="s">
        <v>44</v>
      </c>
      <c r="T8" s="94">
        <v>5562101</v>
      </c>
      <c r="U8" s="3" t="s">
        <v>48</v>
      </c>
      <c r="V8" s="94">
        <v>5462101</v>
      </c>
      <c r="W8" s="93"/>
      <c r="AB8" s="177" t="s">
        <v>58</v>
      </c>
      <c r="AC8" s="6" t="s">
        <v>3220</v>
      </c>
      <c r="AE8" s="177" t="s">
        <v>58</v>
      </c>
      <c r="AF8" s="292" t="s">
        <v>3220</v>
      </c>
      <c r="AH8" s="177" t="s">
        <v>58</v>
      </c>
      <c r="AI8" s="292" t="s">
        <v>3220</v>
      </c>
      <c r="AK8" s="3" t="s">
        <v>3015</v>
      </c>
      <c r="AM8" s="3" t="s">
        <v>50</v>
      </c>
      <c r="AO8" s="106"/>
    </row>
    <row r="9" spans="1:41" ht="15" customHeight="1" x14ac:dyDescent="0.25">
      <c r="A9" s="106"/>
      <c r="C9" s="35" t="s">
        <v>1772</v>
      </c>
      <c r="D9" s="35" t="s">
        <v>1789</v>
      </c>
      <c r="E9" s="4"/>
      <c r="F9" s="35" t="s">
        <v>1615</v>
      </c>
      <c r="G9" s="46" t="s">
        <v>1781</v>
      </c>
      <c r="H9" s="47" t="s">
        <v>1718</v>
      </c>
      <c r="J9" s="106" t="s">
        <v>2033</v>
      </c>
      <c r="L9" s="3" t="s">
        <v>46</v>
      </c>
      <c r="M9" s="3">
        <v>5534402</v>
      </c>
      <c r="N9" s="3" t="s">
        <v>51</v>
      </c>
      <c r="O9" s="94">
        <v>5552503</v>
      </c>
      <c r="Q9" s="3" t="s">
        <v>46</v>
      </c>
      <c r="R9" s="3" t="s">
        <v>51</v>
      </c>
      <c r="S9" s="3" t="s">
        <v>46</v>
      </c>
      <c r="T9" s="94">
        <v>5534402</v>
      </c>
      <c r="U9" s="3" t="s">
        <v>51</v>
      </c>
      <c r="V9" s="94">
        <v>5552503</v>
      </c>
      <c r="W9" s="93"/>
      <c r="AB9" s="177" t="s">
        <v>64</v>
      </c>
      <c r="AC9" s="6" t="s">
        <v>3221</v>
      </c>
      <c r="AE9" s="177" t="s">
        <v>64</v>
      </c>
      <c r="AF9" s="292" t="s">
        <v>3221</v>
      </c>
      <c r="AH9" s="177" t="s">
        <v>64</v>
      </c>
      <c r="AI9" s="292" t="s">
        <v>3221</v>
      </c>
      <c r="AK9" s="3" t="s">
        <v>3566</v>
      </c>
      <c r="AM9" s="3" t="s">
        <v>3563</v>
      </c>
      <c r="AO9" s="106"/>
    </row>
    <row r="10" spans="1:41" x14ac:dyDescent="0.25">
      <c r="A10" s="106"/>
      <c r="C10" s="35" t="s">
        <v>1772</v>
      </c>
      <c r="D10" s="35" t="s">
        <v>1790</v>
      </c>
      <c r="E10" s="4"/>
      <c r="F10" s="35" t="s">
        <v>1615</v>
      </c>
      <c r="G10" s="46" t="s">
        <v>1781</v>
      </c>
      <c r="H10" s="47" t="s">
        <v>1719</v>
      </c>
      <c r="J10" s="106" t="s">
        <v>2828</v>
      </c>
      <c r="L10" s="3" t="s">
        <v>45</v>
      </c>
      <c r="M10" s="3">
        <v>5434404</v>
      </c>
      <c r="N10" s="3" t="s">
        <v>49</v>
      </c>
      <c r="O10" s="94">
        <v>5572301</v>
      </c>
      <c r="Q10" s="3" t="s">
        <v>45</v>
      </c>
      <c r="R10" s="3" t="s">
        <v>49</v>
      </c>
      <c r="S10" s="3" t="s">
        <v>45</v>
      </c>
      <c r="T10" s="94">
        <v>5434404</v>
      </c>
      <c r="U10" s="3" t="s">
        <v>49</v>
      </c>
      <c r="V10" s="94">
        <v>5572301</v>
      </c>
      <c r="W10" s="93"/>
      <c r="AB10" s="177" t="s">
        <v>1292</v>
      </c>
      <c r="AC10" s="6" t="s">
        <v>3222</v>
      </c>
      <c r="AE10" s="177" t="s">
        <v>1292</v>
      </c>
      <c r="AF10" s="292" t="s">
        <v>3222</v>
      </c>
      <c r="AH10" s="177" t="s">
        <v>1292</v>
      </c>
      <c r="AI10" s="292" t="s">
        <v>3222</v>
      </c>
      <c r="AK10" s="3" t="s">
        <v>3016</v>
      </c>
      <c r="AM10" s="3" t="s">
        <v>3565</v>
      </c>
      <c r="AO10" s="106"/>
    </row>
    <row r="11" spans="1:41" ht="15" customHeight="1" x14ac:dyDescent="0.25">
      <c r="A11" s="106"/>
      <c r="C11" s="35"/>
      <c r="D11" s="41" t="s">
        <v>1779</v>
      </c>
      <c r="E11" s="8"/>
      <c r="F11" s="35" t="s">
        <v>1615</v>
      </c>
      <c r="G11" s="46" t="s">
        <v>1781</v>
      </c>
      <c r="H11" s="47" t="s">
        <v>1720</v>
      </c>
      <c r="L11" s="3" t="s">
        <v>47</v>
      </c>
      <c r="M11" s="3">
        <v>3462103</v>
      </c>
      <c r="N11" s="3" t="s">
        <v>50</v>
      </c>
      <c r="O11" s="94">
        <v>5521101</v>
      </c>
      <c r="Q11" s="3" t="s">
        <v>47</v>
      </c>
      <c r="R11" s="3" t="s">
        <v>50</v>
      </c>
      <c r="S11" s="3" t="s">
        <v>47</v>
      </c>
      <c r="T11" s="94">
        <v>3462103</v>
      </c>
      <c r="U11" s="3" t="s">
        <v>50</v>
      </c>
      <c r="V11" s="94">
        <v>5521101</v>
      </c>
      <c r="W11" s="93"/>
      <c r="AB11" s="177" t="s">
        <v>73</v>
      </c>
      <c r="AC11" s="6" t="s">
        <v>3223</v>
      </c>
      <c r="AE11" s="177" t="s">
        <v>73</v>
      </c>
      <c r="AF11" s="292" t="s">
        <v>3223</v>
      </c>
      <c r="AH11" s="177" t="s">
        <v>73</v>
      </c>
      <c r="AI11" s="292" t="s">
        <v>3223</v>
      </c>
      <c r="AK11" s="3" t="s">
        <v>3017</v>
      </c>
      <c r="AM11" s="3" t="s">
        <v>3015</v>
      </c>
      <c r="AO11" s="106"/>
    </row>
    <row r="12" spans="1:41" x14ac:dyDescent="0.25">
      <c r="C12" s="35" t="s">
        <v>1779</v>
      </c>
      <c r="D12" s="9" t="s">
        <v>1787</v>
      </c>
      <c r="E12" s="4"/>
      <c r="F12" s="35" t="s">
        <v>1615</v>
      </c>
      <c r="G12" s="46" t="s">
        <v>1781</v>
      </c>
      <c r="H12" s="47" t="s">
        <v>1721</v>
      </c>
      <c r="L12" s="3" t="s">
        <v>48</v>
      </c>
      <c r="M12" s="3">
        <v>5462101</v>
      </c>
      <c r="N12" s="3" t="s">
        <v>55</v>
      </c>
      <c r="O12" s="94">
        <v>5521202</v>
      </c>
      <c r="Q12" s="3" t="s">
        <v>48</v>
      </c>
      <c r="R12" s="3" t="s">
        <v>55</v>
      </c>
      <c r="S12" s="3" t="s">
        <v>48</v>
      </c>
      <c r="T12" s="94">
        <v>5462101</v>
      </c>
      <c r="U12" s="3" t="s">
        <v>55</v>
      </c>
      <c r="V12" s="94">
        <v>5521202</v>
      </c>
      <c r="W12" s="93"/>
      <c r="AB12" s="177" t="s">
        <v>1295</v>
      </c>
      <c r="AC12" s="6" t="s">
        <v>3224</v>
      </c>
      <c r="AE12" s="177" t="s">
        <v>1295</v>
      </c>
      <c r="AF12" s="292" t="s">
        <v>3224</v>
      </c>
      <c r="AH12" s="177" t="s">
        <v>1295</v>
      </c>
      <c r="AI12" s="292" t="s">
        <v>3224</v>
      </c>
      <c r="AK12" s="3" t="s">
        <v>3000</v>
      </c>
      <c r="AM12" s="3" t="s">
        <v>3566</v>
      </c>
      <c r="AO12" s="106"/>
    </row>
    <row r="13" spans="1:41" ht="15" customHeight="1" x14ac:dyDescent="0.25">
      <c r="A13" s="106"/>
      <c r="C13" s="35" t="s">
        <v>1779</v>
      </c>
      <c r="D13" s="11" t="s">
        <v>1788</v>
      </c>
      <c r="E13" s="4"/>
      <c r="H13" s="6" t="s">
        <v>1782</v>
      </c>
      <c r="L13" s="3" t="s">
        <v>51</v>
      </c>
      <c r="M13" s="3">
        <v>5552503</v>
      </c>
      <c r="N13" s="3" t="s">
        <v>57</v>
      </c>
      <c r="O13" s="94">
        <v>5421201</v>
      </c>
      <c r="Q13" s="3" t="s">
        <v>51</v>
      </c>
      <c r="R13" s="3" t="s">
        <v>57</v>
      </c>
      <c r="S13" s="3" t="s">
        <v>51</v>
      </c>
      <c r="T13" s="94">
        <v>5552503</v>
      </c>
      <c r="U13" s="3" t="s">
        <v>57</v>
      </c>
      <c r="V13" s="94">
        <v>5421201</v>
      </c>
      <c r="W13" s="93"/>
      <c r="AB13" s="177" t="s">
        <v>1297</v>
      </c>
      <c r="AC13" s="6" t="s">
        <v>3225</v>
      </c>
      <c r="AE13" s="177" t="s">
        <v>1297</v>
      </c>
      <c r="AF13" s="292" t="s">
        <v>3225</v>
      </c>
      <c r="AH13" s="177" t="s">
        <v>1297</v>
      </c>
      <c r="AI13" s="292" t="s">
        <v>3225</v>
      </c>
      <c r="AK13" s="3" t="s">
        <v>3567</v>
      </c>
      <c r="AM13" s="3" t="s">
        <v>3016</v>
      </c>
      <c r="AO13" s="106"/>
    </row>
    <row r="14" spans="1:41" x14ac:dyDescent="0.25">
      <c r="A14" s="106"/>
      <c r="C14" s="35"/>
      <c r="D14" s="40" t="s">
        <v>1780</v>
      </c>
      <c r="E14" s="4"/>
      <c r="F14" s="35" t="s">
        <v>1615</v>
      </c>
      <c r="G14" s="46" t="s">
        <v>1782</v>
      </c>
      <c r="H14" s="33" t="s">
        <v>1723</v>
      </c>
      <c r="J14" s="1" t="s">
        <v>36</v>
      </c>
      <c r="L14" s="3" t="s">
        <v>49</v>
      </c>
      <c r="M14" s="3">
        <v>5572301</v>
      </c>
      <c r="N14" s="3" t="s">
        <v>52</v>
      </c>
      <c r="O14" s="94">
        <v>3454302</v>
      </c>
      <c r="Q14" s="3" t="s">
        <v>49</v>
      </c>
      <c r="R14" s="3" t="s">
        <v>52</v>
      </c>
      <c r="S14" s="3" t="s">
        <v>49</v>
      </c>
      <c r="T14" s="94">
        <v>5572301</v>
      </c>
      <c r="U14" s="3" t="s">
        <v>52</v>
      </c>
      <c r="V14" s="94">
        <v>3454302</v>
      </c>
      <c r="W14" s="93"/>
      <c r="AB14" s="177" t="s">
        <v>85</v>
      </c>
      <c r="AC14" s="6" t="s">
        <v>3226</v>
      </c>
      <c r="AE14" s="177" t="s">
        <v>85</v>
      </c>
      <c r="AF14" s="292" t="s">
        <v>3226</v>
      </c>
      <c r="AH14" s="177" t="s">
        <v>85</v>
      </c>
      <c r="AI14" s="292" t="s">
        <v>3226</v>
      </c>
      <c r="AK14" s="3" t="s">
        <v>3568</v>
      </c>
      <c r="AM14" s="3" t="s">
        <v>3017</v>
      </c>
      <c r="AO14" s="106"/>
    </row>
    <row r="15" spans="1:41" x14ac:dyDescent="0.25">
      <c r="A15" s="106"/>
      <c r="C15" s="35" t="s">
        <v>1780</v>
      </c>
      <c r="D15" s="9" t="s">
        <v>3</v>
      </c>
      <c r="E15" s="8"/>
      <c r="F15" s="35" t="s">
        <v>1615</v>
      </c>
      <c r="G15" s="46" t="s">
        <v>1782</v>
      </c>
      <c r="H15" s="33" t="s">
        <v>1724</v>
      </c>
      <c r="J15" s="106" t="s">
        <v>38</v>
      </c>
      <c r="L15" s="3" t="s">
        <v>50</v>
      </c>
      <c r="M15" s="3">
        <v>5521101</v>
      </c>
      <c r="N15" s="3" t="s">
        <v>53</v>
      </c>
      <c r="O15" s="94">
        <v>3552201</v>
      </c>
      <c r="Q15" s="3" t="s">
        <v>50</v>
      </c>
      <c r="R15" s="3" t="s">
        <v>53</v>
      </c>
      <c r="S15" s="3" t="s">
        <v>50</v>
      </c>
      <c r="T15" s="94">
        <v>5521101</v>
      </c>
      <c r="U15" s="3" t="s">
        <v>53</v>
      </c>
      <c r="V15" s="94">
        <v>3552201</v>
      </c>
      <c r="W15" s="93"/>
      <c r="AB15" s="177" t="s">
        <v>1300</v>
      </c>
      <c r="AC15" s="6" t="s">
        <v>3227</v>
      </c>
      <c r="AE15" s="177" t="s">
        <v>1300</v>
      </c>
      <c r="AF15" s="292" t="s">
        <v>3227</v>
      </c>
      <c r="AH15" s="177" t="s">
        <v>1300</v>
      </c>
      <c r="AI15" s="292" t="s">
        <v>3227</v>
      </c>
      <c r="AK15" s="3" t="s">
        <v>3001</v>
      </c>
      <c r="AM15" s="3" t="s">
        <v>3000</v>
      </c>
      <c r="AO15" s="106"/>
    </row>
    <row r="16" spans="1:41" x14ac:dyDescent="0.25">
      <c r="A16" s="106"/>
      <c r="C16" s="35" t="s">
        <v>1780</v>
      </c>
      <c r="D16" s="9" t="s">
        <v>4</v>
      </c>
      <c r="E16" s="4"/>
      <c r="F16" s="35" t="s">
        <v>1615</v>
      </c>
      <c r="G16" s="46" t="s">
        <v>1782</v>
      </c>
      <c r="H16" s="33" t="s">
        <v>1725</v>
      </c>
      <c r="J16" s="106" t="s">
        <v>643</v>
      </c>
      <c r="L16" s="3" t="s">
        <v>55</v>
      </c>
      <c r="M16" s="3">
        <v>5521202</v>
      </c>
      <c r="N16" s="3" t="s">
        <v>61</v>
      </c>
      <c r="O16" s="94">
        <v>5472502</v>
      </c>
      <c r="Q16" s="3" t="s">
        <v>55</v>
      </c>
      <c r="R16" s="3" t="s">
        <v>61</v>
      </c>
      <c r="S16" s="3" t="s">
        <v>55</v>
      </c>
      <c r="T16" s="94">
        <v>5521202</v>
      </c>
      <c r="U16" s="3" t="s">
        <v>61</v>
      </c>
      <c r="V16" s="94">
        <v>5472502</v>
      </c>
      <c r="W16" s="93"/>
      <c r="AB16" s="177" t="s">
        <v>79</v>
      </c>
      <c r="AC16" s="6" t="s">
        <v>3228</v>
      </c>
      <c r="AE16" s="177" t="s">
        <v>79</v>
      </c>
      <c r="AF16" s="292" t="s">
        <v>3228</v>
      </c>
      <c r="AH16" s="177" t="s">
        <v>79</v>
      </c>
      <c r="AI16" s="292" t="s">
        <v>3228</v>
      </c>
      <c r="AK16" s="3" t="s">
        <v>3569</v>
      </c>
      <c r="AM16" s="3" t="s">
        <v>3567</v>
      </c>
      <c r="AO16" s="106"/>
    </row>
    <row r="17" spans="1:41" x14ac:dyDescent="0.25">
      <c r="A17" s="106"/>
      <c r="C17" s="35" t="s">
        <v>1780</v>
      </c>
      <c r="D17" s="9" t="s">
        <v>5</v>
      </c>
      <c r="E17" s="4"/>
      <c r="F17" s="35" t="s">
        <v>1615</v>
      </c>
      <c r="G17" s="46" t="s">
        <v>1782</v>
      </c>
      <c r="H17" s="33" t="s">
        <v>3453</v>
      </c>
      <c r="J17" s="106" t="s">
        <v>715</v>
      </c>
      <c r="L17" s="3" t="s">
        <v>57</v>
      </c>
      <c r="M17" s="3">
        <v>5421201</v>
      </c>
      <c r="N17" s="3" t="s">
        <v>63</v>
      </c>
      <c r="O17" s="94">
        <v>3584101</v>
      </c>
      <c r="Q17" s="3" t="s">
        <v>57</v>
      </c>
      <c r="R17" s="3" t="s">
        <v>63</v>
      </c>
      <c r="S17" s="3" t="s">
        <v>57</v>
      </c>
      <c r="T17" s="94">
        <v>5421201</v>
      </c>
      <c r="U17" s="3" t="s">
        <v>63</v>
      </c>
      <c r="V17" s="94">
        <v>3584101</v>
      </c>
      <c r="W17" s="93"/>
      <c r="AB17" s="177" t="s">
        <v>1304</v>
      </c>
      <c r="AC17" s="6" t="s">
        <v>3229</v>
      </c>
      <c r="AE17" s="177" t="s">
        <v>1304</v>
      </c>
      <c r="AF17" s="292" t="s">
        <v>3229</v>
      </c>
      <c r="AH17" s="177" t="s">
        <v>1304</v>
      </c>
      <c r="AI17" s="292" t="s">
        <v>3229</v>
      </c>
      <c r="AK17" s="3" t="s">
        <v>3570</v>
      </c>
      <c r="AM17" s="3" t="s">
        <v>3568</v>
      </c>
      <c r="AO17" s="106"/>
    </row>
    <row r="18" spans="1:41" x14ac:dyDescent="0.25">
      <c r="A18" s="106"/>
      <c r="C18" s="35" t="s">
        <v>1780</v>
      </c>
      <c r="D18" s="9" t="s">
        <v>6</v>
      </c>
      <c r="E18" s="4"/>
      <c r="F18" s="35" t="s">
        <v>1615</v>
      </c>
      <c r="G18" s="46" t="s">
        <v>1782</v>
      </c>
      <c r="H18" s="33" t="s">
        <v>1726</v>
      </c>
      <c r="J18" s="106" t="s">
        <v>776</v>
      </c>
      <c r="L18" s="3" t="s">
        <v>52</v>
      </c>
      <c r="M18" s="3">
        <v>3454302</v>
      </c>
      <c r="N18" s="3" t="s">
        <v>54</v>
      </c>
      <c r="O18" s="94">
        <v>5452501</v>
      </c>
      <c r="Q18" s="3" t="s">
        <v>52</v>
      </c>
      <c r="R18" s="3" t="s">
        <v>54</v>
      </c>
      <c r="S18" s="3" t="s">
        <v>52</v>
      </c>
      <c r="T18" s="94">
        <v>3454302</v>
      </c>
      <c r="U18" s="3" t="s">
        <v>54</v>
      </c>
      <c r="V18" s="94">
        <v>5452501</v>
      </c>
      <c r="W18" s="93"/>
      <c r="Z18" s="3" t="s">
        <v>3762</v>
      </c>
      <c r="AB18" s="177" t="s">
        <v>81</v>
      </c>
      <c r="AC18" s="6" t="s">
        <v>3230</v>
      </c>
      <c r="AE18" s="177" t="s">
        <v>81</v>
      </c>
      <c r="AF18" s="292" t="s">
        <v>3230</v>
      </c>
      <c r="AH18" s="177" t="s">
        <v>81</v>
      </c>
      <c r="AI18" s="292" t="s">
        <v>3230</v>
      </c>
      <c r="AK18" s="3" t="s">
        <v>66</v>
      </c>
      <c r="AM18" s="3" t="s">
        <v>3001</v>
      </c>
      <c r="AO18" s="106"/>
    </row>
    <row r="19" spans="1:41" x14ac:dyDescent="0.25">
      <c r="C19" s="35" t="s">
        <v>1780</v>
      </c>
      <c r="D19" s="9" t="s">
        <v>7</v>
      </c>
      <c r="E19" s="4"/>
      <c r="F19" s="35" t="s">
        <v>1615</v>
      </c>
      <c r="G19" s="46" t="s">
        <v>1782</v>
      </c>
      <c r="H19" s="33" t="s">
        <v>1727</v>
      </c>
      <c r="J19" s="106" t="s">
        <v>841</v>
      </c>
      <c r="L19" s="3" t="s">
        <v>53</v>
      </c>
      <c r="M19" s="3">
        <v>3552201</v>
      </c>
      <c r="N19" s="3" t="s">
        <v>56</v>
      </c>
      <c r="O19" s="94">
        <v>3452101</v>
      </c>
      <c r="Q19" s="3" t="s">
        <v>53</v>
      </c>
      <c r="R19" s="3" t="s">
        <v>56</v>
      </c>
      <c r="S19" s="3" t="s">
        <v>53</v>
      </c>
      <c r="T19" s="94">
        <v>3552201</v>
      </c>
      <c r="U19" s="3" t="s">
        <v>56</v>
      </c>
      <c r="V19" s="94">
        <v>3452101</v>
      </c>
      <c r="W19" s="93"/>
      <c r="Z19" s="3" t="s">
        <v>3763</v>
      </c>
      <c r="AB19" s="177" t="s">
        <v>1306</v>
      </c>
      <c r="AC19" s="6" t="s">
        <v>3231</v>
      </c>
      <c r="AE19" s="177" t="s">
        <v>1306</v>
      </c>
      <c r="AF19" s="292" t="s">
        <v>3231</v>
      </c>
      <c r="AH19" s="177" t="s">
        <v>1306</v>
      </c>
      <c r="AI19" s="292" t="s">
        <v>3231</v>
      </c>
      <c r="AK19" s="3" t="s">
        <v>3119</v>
      </c>
      <c r="AM19" s="3" t="s">
        <v>3569</v>
      </c>
      <c r="AO19" s="106"/>
    </row>
    <row r="20" spans="1:41" x14ac:dyDescent="0.25">
      <c r="C20" s="35" t="s">
        <v>1780</v>
      </c>
      <c r="D20" s="9" t="s">
        <v>8</v>
      </c>
      <c r="E20" s="8"/>
      <c r="F20" s="35" t="s">
        <v>1615</v>
      </c>
      <c r="G20" s="46" t="s">
        <v>1782</v>
      </c>
      <c r="H20" s="33" t="s">
        <v>1728</v>
      </c>
      <c r="J20" s="106" t="s">
        <v>875</v>
      </c>
      <c r="L20" s="3" t="s">
        <v>61</v>
      </c>
      <c r="M20" s="3">
        <v>5472502</v>
      </c>
      <c r="N20" s="3" t="s">
        <v>66</v>
      </c>
      <c r="O20" s="94">
        <v>3552301</v>
      </c>
      <c r="Q20" s="3" t="s">
        <v>61</v>
      </c>
      <c r="R20" s="3" t="s">
        <v>66</v>
      </c>
      <c r="S20" s="3" t="s">
        <v>61</v>
      </c>
      <c r="T20" s="94">
        <v>5472502</v>
      </c>
      <c r="U20" s="3" t="s">
        <v>66</v>
      </c>
      <c r="V20" s="94">
        <v>3552301</v>
      </c>
      <c r="W20" s="93"/>
      <c r="Z20" s="3" t="s">
        <v>3770</v>
      </c>
      <c r="AB20" s="177" t="s">
        <v>1307</v>
      </c>
      <c r="AC20" s="6" t="s">
        <v>3232</v>
      </c>
      <c r="AE20" s="177" t="s">
        <v>1307</v>
      </c>
      <c r="AF20" s="292" t="s">
        <v>3232</v>
      </c>
      <c r="AH20" s="177" t="s">
        <v>1307</v>
      </c>
      <c r="AI20" s="292" t="s">
        <v>3232</v>
      </c>
      <c r="AK20" s="3" t="s">
        <v>3108</v>
      </c>
      <c r="AM20" s="3" t="s">
        <v>3570</v>
      </c>
      <c r="AO20" s="106"/>
    </row>
    <row r="21" spans="1:41" x14ac:dyDescent="0.25">
      <c r="C21" s="35" t="s">
        <v>1780</v>
      </c>
      <c r="D21" s="9" t="s">
        <v>9</v>
      </c>
      <c r="E21" s="4"/>
      <c r="F21" s="35" t="s">
        <v>1615</v>
      </c>
      <c r="G21" s="46" t="s">
        <v>1782</v>
      </c>
      <c r="H21" s="33" t="s">
        <v>1729</v>
      </c>
      <c r="J21" s="106" t="s">
        <v>2852</v>
      </c>
      <c r="L21" s="3" t="s">
        <v>63</v>
      </c>
      <c r="M21" s="3">
        <v>3584101</v>
      </c>
      <c r="N21" s="3" t="s">
        <v>58</v>
      </c>
      <c r="O21" s="94">
        <v>5452301</v>
      </c>
      <c r="Q21" s="3" t="s">
        <v>63</v>
      </c>
      <c r="R21" s="3" t="s">
        <v>58</v>
      </c>
      <c r="S21" s="3" t="s">
        <v>63</v>
      </c>
      <c r="T21" s="94">
        <v>3584101</v>
      </c>
      <c r="U21" s="3" t="s">
        <v>58</v>
      </c>
      <c r="V21" s="94">
        <v>5452301</v>
      </c>
      <c r="W21" s="93"/>
      <c r="AB21" s="177" t="s">
        <v>1308</v>
      </c>
      <c r="AC21" s="6" t="s">
        <v>3233</v>
      </c>
      <c r="AE21" s="177" t="s">
        <v>1308</v>
      </c>
      <c r="AF21" s="292" t="s">
        <v>3233</v>
      </c>
      <c r="AH21" s="177" t="s">
        <v>1308</v>
      </c>
      <c r="AI21" s="292" t="s">
        <v>3233</v>
      </c>
      <c r="AK21" s="3" t="s">
        <v>3724</v>
      </c>
      <c r="AM21" s="3" t="s">
        <v>66</v>
      </c>
      <c r="AO21" s="106"/>
    </row>
    <row r="22" spans="1:41" x14ac:dyDescent="0.25">
      <c r="C22" s="35" t="s">
        <v>1780</v>
      </c>
      <c r="D22" s="9" t="s">
        <v>10</v>
      </c>
      <c r="E22" s="4"/>
      <c r="F22" s="35" t="s">
        <v>1615</v>
      </c>
      <c r="G22" s="46" t="s">
        <v>1782</v>
      </c>
      <c r="H22" s="33" t="s">
        <v>1730</v>
      </c>
      <c r="J22" s="106" t="s">
        <v>2853</v>
      </c>
      <c r="L22" s="3" t="s">
        <v>54</v>
      </c>
      <c r="M22" s="3">
        <v>5452501</v>
      </c>
      <c r="N22" s="3" t="s">
        <v>59</v>
      </c>
      <c r="O22" s="94">
        <v>5452502</v>
      </c>
      <c r="Q22" s="3" t="s">
        <v>54</v>
      </c>
      <c r="R22" s="3" t="s">
        <v>59</v>
      </c>
      <c r="S22" s="3" t="s">
        <v>54</v>
      </c>
      <c r="T22" s="94">
        <v>5452501</v>
      </c>
      <c r="U22" s="3" t="s">
        <v>59</v>
      </c>
      <c r="V22" s="94">
        <v>5452502</v>
      </c>
      <c r="W22" s="93"/>
      <c r="AB22" s="177" t="s">
        <v>1309</v>
      </c>
      <c r="AC22" s="6" t="s">
        <v>3234</v>
      </c>
      <c r="AE22" s="177" t="s">
        <v>1309</v>
      </c>
      <c r="AF22" s="292" t="s">
        <v>3234</v>
      </c>
      <c r="AH22" s="177" t="s">
        <v>1309</v>
      </c>
      <c r="AI22" s="292" t="s">
        <v>3234</v>
      </c>
      <c r="AK22" s="3" t="s">
        <v>65</v>
      </c>
      <c r="AM22" s="3" t="s">
        <v>3119</v>
      </c>
      <c r="AO22" s="106"/>
    </row>
    <row r="23" spans="1:41" x14ac:dyDescent="0.25">
      <c r="C23" s="35" t="s">
        <v>1780</v>
      </c>
      <c r="D23" s="9" t="s">
        <v>11</v>
      </c>
      <c r="E23" s="8"/>
      <c r="F23" s="35" t="s">
        <v>1615</v>
      </c>
      <c r="G23" s="46" t="s">
        <v>1782</v>
      </c>
      <c r="H23" s="33" t="s">
        <v>1731</v>
      </c>
      <c r="L23" s="3" t="s">
        <v>56</v>
      </c>
      <c r="M23" s="3">
        <v>3452101</v>
      </c>
      <c r="N23" s="3" t="s">
        <v>60</v>
      </c>
      <c r="O23" s="94">
        <v>5552501</v>
      </c>
      <c r="Q23" s="3" t="s">
        <v>56</v>
      </c>
      <c r="R23" s="3" t="s">
        <v>60</v>
      </c>
      <c r="S23" s="3" t="s">
        <v>56</v>
      </c>
      <c r="T23" s="94">
        <v>3452101</v>
      </c>
      <c r="U23" s="3" t="s">
        <v>60</v>
      </c>
      <c r="V23" s="94">
        <v>5552501</v>
      </c>
      <c r="W23" s="93"/>
      <c r="AB23" s="177" t="s">
        <v>1310</v>
      </c>
      <c r="AC23" s="6" t="s">
        <v>3235</v>
      </c>
      <c r="AE23" s="177" t="s">
        <v>1310</v>
      </c>
      <c r="AF23" s="292" t="s">
        <v>3235</v>
      </c>
      <c r="AH23" s="177" t="s">
        <v>1310</v>
      </c>
      <c r="AI23" s="292" t="s">
        <v>3235</v>
      </c>
      <c r="AK23" s="3" t="s">
        <v>2895</v>
      </c>
      <c r="AM23" s="3" t="s">
        <v>3108</v>
      </c>
      <c r="AO23" s="106"/>
    </row>
    <row r="24" spans="1:41" x14ac:dyDescent="0.25">
      <c r="A24" s="10" t="s">
        <v>2827</v>
      </c>
      <c r="C24" s="35" t="s">
        <v>1780</v>
      </c>
      <c r="D24" s="9" t="s">
        <v>12</v>
      </c>
      <c r="E24" s="4"/>
      <c r="F24" s="35" t="s">
        <v>1615</v>
      </c>
      <c r="G24" s="46" t="s">
        <v>1782</v>
      </c>
      <c r="H24" s="33" t="s">
        <v>1732</v>
      </c>
      <c r="L24" s="3" t="s">
        <v>66</v>
      </c>
      <c r="M24" s="3">
        <v>3552301</v>
      </c>
      <c r="N24" s="3" t="s">
        <v>62</v>
      </c>
      <c r="O24" s="94">
        <v>5452503</v>
      </c>
      <c r="Q24" s="3" t="s">
        <v>66</v>
      </c>
      <c r="R24" s="3" t="s">
        <v>62</v>
      </c>
      <c r="S24" s="3" t="s">
        <v>66</v>
      </c>
      <c r="T24" s="94">
        <v>3552301</v>
      </c>
      <c r="U24" s="3" t="s">
        <v>62</v>
      </c>
      <c r="V24" s="94">
        <v>5452503</v>
      </c>
      <c r="W24" s="93"/>
      <c r="AB24" s="177" t="s">
        <v>96</v>
      </c>
      <c r="AC24" s="6" t="s">
        <v>3236</v>
      </c>
      <c r="AE24" s="177" t="s">
        <v>96</v>
      </c>
      <c r="AF24" s="292" t="s">
        <v>3236</v>
      </c>
      <c r="AH24" s="177" t="s">
        <v>96</v>
      </c>
      <c r="AI24" s="292" t="s">
        <v>3236</v>
      </c>
      <c r="AK24" s="3" t="s">
        <v>67</v>
      </c>
      <c r="AM24" s="3" t="s">
        <v>3724</v>
      </c>
      <c r="AO24" s="106"/>
    </row>
    <row r="25" spans="1:41" x14ac:dyDescent="0.25">
      <c r="C25" s="35" t="s">
        <v>1780</v>
      </c>
      <c r="D25" s="9" t="s">
        <v>904</v>
      </c>
      <c r="E25" s="4"/>
      <c r="F25" s="35" t="s">
        <v>1615</v>
      </c>
      <c r="G25" s="46" t="s">
        <v>1782</v>
      </c>
      <c r="H25" s="33" t="s">
        <v>1733</v>
      </c>
      <c r="L25" s="3" t="s">
        <v>58</v>
      </c>
      <c r="M25" s="3">
        <v>5452301</v>
      </c>
      <c r="N25" s="3" t="s">
        <v>64</v>
      </c>
      <c r="O25" s="94">
        <v>3458202</v>
      </c>
      <c r="Q25" s="3" t="s">
        <v>58</v>
      </c>
      <c r="R25" s="3" t="s">
        <v>64</v>
      </c>
      <c r="S25" s="3" t="s">
        <v>58</v>
      </c>
      <c r="T25" s="94">
        <v>5452301</v>
      </c>
      <c r="U25" s="3" t="s">
        <v>64</v>
      </c>
      <c r="V25" s="94">
        <v>3458202</v>
      </c>
      <c r="W25" s="93"/>
      <c r="AB25" s="177" t="s">
        <v>97</v>
      </c>
      <c r="AC25" s="6" t="s">
        <v>3237</v>
      </c>
      <c r="AE25" s="177" t="s">
        <v>97</v>
      </c>
      <c r="AF25" s="292" t="s">
        <v>3237</v>
      </c>
      <c r="AH25" s="177" t="s">
        <v>97</v>
      </c>
      <c r="AI25" s="292" t="s">
        <v>3237</v>
      </c>
      <c r="AK25" s="3" t="s">
        <v>3118</v>
      </c>
      <c r="AM25" s="3" t="s">
        <v>65</v>
      </c>
      <c r="AO25" s="106"/>
    </row>
    <row r="26" spans="1:41" x14ac:dyDescent="0.25">
      <c r="C26" s="35" t="s">
        <v>1780</v>
      </c>
      <c r="D26" s="9" t="s">
        <v>910</v>
      </c>
      <c r="E26" s="8"/>
      <c r="H26" s="6" t="s">
        <v>1783</v>
      </c>
      <c r="L26" s="3" t="s">
        <v>59</v>
      </c>
      <c r="M26" s="3">
        <v>5452502</v>
      </c>
      <c r="N26" s="3" t="s">
        <v>73</v>
      </c>
      <c r="O26" s="94">
        <v>3454402</v>
      </c>
      <c r="Q26" s="3" t="s">
        <v>59</v>
      </c>
      <c r="R26" s="3" t="s">
        <v>73</v>
      </c>
      <c r="S26" s="3" t="s">
        <v>59</v>
      </c>
      <c r="T26" s="94">
        <v>5452502</v>
      </c>
      <c r="U26" s="3" t="s">
        <v>73</v>
      </c>
      <c r="V26" s="94">
        <v>3454402</v>
      </c>
      <c r="W26" s="93"/>
      <c r="AB26" s="177" t="s">
        <v>1312</v>
      </c>
      <c r="AC26" s="6" t="s">
        <v>3238</v>
      </c>
      <c r="AE26" s="177" t="s">
        <v>1312</v>
      </c>
      <c r="AF26" s="292" t="s">
        <v>3238</v>
      </c>
      <c r="AH26" s="177" t="s">
        <v>1312</v>
      </c>
      <c r="AI26" s="292" t="s">
        <v>3238</v>
      </c>
      <c r="AK26" s="3" t="s">
        <v>3511</v>
      </c>
      <c r="AM26" s="3" t="s">
        <v>2895</v>
      </c>
      <c r="AO26" s="106"/>
    </row>
    <row r="27" spans="1:41" x14ac:dyDescent="0.25">
      <c r="C27" s="35" t="s">
        <v>1780</v>
      </c>
      <c r="D27" s="9" t="s">
        <v>13</v>
      </c>
      <c r="E27" s="4"/>
      <c r="F27" s="35" t="s">
        <v>1615</v>
      </c>
      <c r="G27" s="46" t="s">
        <v>1783</v>
      </c>
      <c r="H27" s="33" t="s">
        <v>1735</v>
      </c>
      <c r="J27" s="1" t="s">
        <v>2852</v>
      </c>
      <c r="L27" s="3" t="s">
        <v>60</v>
      </c>
      <c r="M27" s="3">
        <v>5552501</v>
      </c>
      <c r="N27" s="3" t="s">
        <v>75</v>
      </c>
      <c r="O27" s="94">
        <v>5454401</v>
      </c>
      <c r="Q27" s="3" t="s">
        <v>60</v>
      </c>
      <c r="R27" s="3" t="s">
        <v>75</v>
      </c>
      <c r="S27" s="3" t="s">
        <v>60</v>
      </c>
      <c r="T27" s="94">
        <v>5552501</v>
      </c>
      <c r="U27" s="3" t="s">
        <v>75</v>
      </c>
      <c r="V27" s="94">
        <v>5454401</v>
      </c>
      <c r="W27" s="93"/>
      <c r="AB27" s="177" t="s">
        <v>99</v>
      </c>
      <c r="AC27" s="6" t="s">
        <v>3239</v>
      </c>
      <c r="AE27" s="177" t="s">
        <v>99</v>
      </c>
      <c r="AF27" s="292" t="s">
        <v>3239</v>
      </c>
      <c r="AH27" s="177" t="s">
        <v>99</v>
      </c>
      <c r="AI27" s="292" t="s">
        <v>3239</v>
      </c>
      <c r="AK27" s="3" t="s">
        <v>3114</v>
      </c>
      <c r="AM27" s="3" t="s">
        <v>2883</v>
      </c>
      <c r="AO27" s="106"/>
    </row>
    <row r="28" spans="1:41" x14ac:dyDescent="0.25">
      <c r="C28" s="35" t="s">
        <v>1780</v>
      </c>
      <c r="D28" s="9" t="s">
        <v>777</v>
      </c>
      <c r="E28" s="4"/>
      <c r="F28" s="35" t="s">
        <v>1615</v>
      </c>
      <c r="G28" s="46" t="s">
        <v>1783</v>
      </c>
      <c r="H28" s="33" t="s">
        <v>1736</v>
      </c>
      <c r="J28" s="106" t="s">
        <v>380</v>
      </c>
      <c r="L28" s="3" t="s">
        <v>62</v>
      </c>
      <c r="M28" s="3">
        <v>5452503</v>
      </c>
      <c r="N28" s="3" t="s">
        <v>65</v>
      </c>
      <c r="O28" s="94">
        <v>3581301</v>
      </c>
      <c r="Q28" s="3" t="s">
        <v>62</v>
      </c>
      <c r="R28" s="3" t="s">
        <v>65</v>
      </c>
      <c r="S28" s="3" t="s">
        <v>62</v>
      </c>
      <c r="T28" s="94">
        <v>5452503</v>
      </c>
      <c r="U28" s="3" t="s">
        <v>65</v>
      </c>
      <c r="V28" s="94">
        <v>3581301</v>
      </c>
      <c r="W28" s="93"/>
      <c r="AB28" s="177" t="s">
        <v>1313</v>
      </c>
      <c r="AC28" s="6" t="s">
        <v>3240</v>
      </c>
      <c r="AE28" s="177" t="s">
        <v>1313</v>
      </c>
      <c r="AF28" s="292" t="s">
        <v>3240</v>
      </c>
      <c r="AH28" s="177" t="s">
        <v>1313</v>
      </c>
      <c r="AI28" s="292" t="s">
        <v>3240</v>
      </c>
      <c r="AK28" s="3" t="s">
        <v>3725</v>
      </c>
      <c r="AM28" s="3" t="s">
        <v>67</v>
      </c>
      <c r="AO28" s="106"/>
    </row>
    <row r="29" spans="1:41" x14ac:dyDescent="0.25">
      <c r="C29" s="35" t="s">
        <v>1780</v>
      </c>
      <c r="D29" s="9" t="s">
        <v>14</v>
      </c>
      <c r="E29" s="8"/>
      <c r="F29" s="35" t="s">
        <v>1615</v>
      </c>
      <c r="G29" s="46" t="s">
        <v>1783</v>
      </c>
      <c r="H29" s="33" t="s">
        <v>1737</v>
      </c>
      <c r="L29" s="3" t="s">
        <v>64</v>
      </c>
      <c r="M29" s="3">
        <v>3458202</v>
      </c>
      <c r="N29" s="3" t="s">
        <v>78</v>
      </c>
      <c r="O29" s="94">
        <v>5552305</v>
      </c>
      <c r="Q29" s="3" t="s">
        <v>64</v>
      </c>
      <c r="R29" s="3" t="s">
        <v>78</v>
      </c>
      <c r="S29" s="3" t="s">
        <v>64</v>
      </c>
      <c r="T29" s="94">
        <v>3458202</v>
      </c>
      <c r="U29" s="3" t="s">
        <v>78</v>
      </c>
      <c r="V29" s="94">
        <v>5552305</v>
      </c>
      <c r="W29" s="93"/>
      <c r="AB29" s="177" t="s">
        <v>1314</v>
      </c>
      <c r="AC29" s="6" t="s">
        <v>3241</v>
      </c>
      <c r="AE29" s="177" t="s">
        <v>1314</v>
      </c>
      <c r="AF29" s="292" t="s">
        <v>3241</v>
      </c>
      <c r="AH29" s="177" t="s">
        <v>1314</v>
      </c>
      <c r="AI29" s="292" t="s">
        <v>3241</v>
      </c>
      <c r="AK29" s="3" t="s">
        <v>2921</v>
      </c>
      <c r="AM29" s="3" t="s">
        <v>3118</v>
      </c>
      <c r="AO29" s="106"/>
    </row>
    <row r="30" spans="1:41" x14ac:dyDescent="0.25">
      <c r="C30" s="35" t="s">
        <v>1780</v>
      </c>
      <c r="D30" s="9" t="s">
        <v>15</v>
      </c>
      <c r="E30" s="4"/>
      <c r="F30" s="35" t="s">
        <v>1615</v>
      </c>
      <c r="G30" s="46" t="s">
        <v>1783</v>
      </c>
      <c r="H30" s="33" t="s">
        <v>1738</v>
      </c>
      <c r="L30" s="3" t="s">
        <v>73</v>
      </c>
      <c r="M30" s="3">
        <v>3454402</v>
      </c>
      <c r="N30" s="3" t="s">
        <v>67</v>
      </c>
      <c r="O30" s="94">
        <v>3562102</v>
      </c>
      <c r="Q30" s="3" t="s">
        <v>73</v>
      </c>
      <c r="R30" s="3" t="s">
        <v>67</v>
      </c>
      <c r="S30" s="3" t="s">
        <v>73</v>
      </c>
      <c r="T30" s="94">
        <v>3454402</v>
      </c>
      <c r="U30" s="3" t="s">
        <v>67</v>
      </c>
      <c r="V30" s="94">
        <v>3562102</v>
      </c>
      <c r="W30" s="93"/>
      <c r="AB30" s="177" t="s">
        <v>101</v>
      </c>
      <c r="AC30" s="6" t="s">
        <v>3242</v>
      </c>
      <c r="AE30" s="177" t="s">
        <v>101</v>
      </c>
      <c r="AF30" s="292" t="s">
        <v>3242</v>
      </c>
      <c r="AH30" s="177" t="s">
        <v>101</v>
      </c>
      <c r="AI30" s="292" t="s">
        <v>3242</v>
      </c>
      <c r="AK30" s="3" t="s">
        <v>3198</v>
      </c>
      <c r="AM30" s="3" t="s">
        <v>3511</v>
      </c>
      <c r="AO30" s="106"/>
    </row>
    <row r="31" spans="1:41" x14ac:dyDescent="0.25">
      <c r="C31" s="35" t="s">
        <v>1780</v>
      </c>
      <c r="D31" s="9" t="s">
        <v>16</v>
      </c>
      <c r="E31" s="4"/>
      <c r="F31" s="35" t="s">
        <v>1615</v>
      </c>
      <c r="G31" s="46" t="s">
        <v>1783</v>
      </c>
      <c r="H31" s="33" t="s">
        <v>1739</v>
      </c>
      <c r="L31" s="3" t="s">
        <v>75</v>
      </c>
      <c r="M31" s="3">
        <v>5454401</v>
      </c>
      <c r="N31" s="3" t="s">
        <v>68</v>
      </c>
      <c r="O31" s="94">
        <v>5554101</v>
      </c>
      <c r="Q31" s="3" t="s">
        <v>75</v>
      </c>
      <c r="R31" s="3" t="s">
        <v>68</v>
      </c>
      <c r="S31" s="3" t="s">
        <v>75</v>
      </c>
      <c r="T31" s="94">
        <v>5454401</v>
      </c>
      <c r="U31" s="3" t="s">
        <v>68</v>
      </c>
      <c r="V31" s="94">
        <v>5554101</v>
      </c>
      <c r="W31" s="93"/>
      <c r="AB31" s="177" t="s">
        <v>103</v>
      </c>
      <c r="AC31" s="6" t="s">
        <v>3243</v>
      </c>
      <c r="AE31" s="177" t="s">
        <v>103</v>
      </c>
      <c r="AF31" s="292" t="s">
        <v>3243</v>
      </c>
      <c r="AH31" s="177" t="s">
        <v>103</v>
      </c>
      <c r="AI31" s="292" t="s">
        <v>3243</v>
      </c>
      <c r="AK31" s="3" t="s">
        <v>3162</v>
      </c>
      <c r="AM31" s="3" t="s">
        <v>71</v>
      </c>
      <c r="AO31" s="106"/>
    </row>
    <row r="32" spans="1:41" x14ac:dyDescent="0.25">
      <c r="C32" s="35" t="s">
        <v>1780</v>
      </c>
      <c r="D32" s="9" t="s">
        <v>17</v>
      </c>
      <c r="E32" s="8"/>
      <c r="F32" s="35" t="s">
        <v>1615</v>
      </c>
      <c r="G32" s="46" t="s">
        <v>1783</v>
      </c>
      <c r="H32" s="33" t="s">
        <v>1740</v>
      </c>
      <c r="L32" s="3" t="s">
        <v>65</v>
      </c>
      <c r="M32" s="3">
        <v>3581301</v>
      </c>
      <c r="N32" s="3" t="s">
        <v>69</v>
      </c>
      <c r="O32" s="94">
        <v>3454201</v>
      </c>
      <c r="Q32" s="3" t="s">
        <v>65</v>
      </c>
      <c r="R32" s="3" t="s">
        <v>69</v>
      </c>
      <c r="S32" s="3" t="s">
        <v>65</v>
      </c>
      <c r="T32" s="94">
        <v>3581301</v>
      </c>
      <c r="U32" s="3" t="s">
        <v>69</v>
      </c>
      <c r="V32" s="94">
        <v>3454201</v>
      </c>
      <c r="W32" s="93"/>
      <c r="AB32" s="177" t="s">
        <v>716</v>
      </c>
      <c r="AC32" s="6" t="s">
        <v>3244</v>
      </c>
      <c r="AE32" s="177" t="s">
        <v>716</v>
      </c>
      <c r="AF32" s="292" t="s">
        <v>3244</v>
      </c>
      <c r="AH32" s="177" t="s">
        <v>716</v>
      </c>
      <c r="AI32" s="292" t="s">
        <v>3244</v>
      </c>
      <c r="AK32" s="3" t="s">
        <v>3740</v>
      </c>
      <c r="AM32" s="3" t="s">
        <v>3114</v>
      </c>
      <c r="AO32" s="106"/>
    </row>
    <row r="33" spans="3:41" x14ac:dyDescent="0.25">
      <c r="C33" s="35" t="s">
        <v>1780</v>
      </c>
      <c r="D33" s="9" t="s">
        <v>18</v>
      </c>
      <c r="E33" s="4"/>
      <c r="F33" s="35" t="s">
        <v>1615</v>
      </c>
      <c r="G33" s="46" t="s">
        <v>1783</v>
      </c>
      <c r="H33" s="33" t="s">
        <v>1741</v>
      </c>
      <c r="J33" s="1" t="s">
        <v>2853</v>
      </c>
      <c r="L33" s="3" t="s">
        <v>78</v>
      </c>
      <c r="M33" s="3">
        <v>5552305</v>
      </c>
      <c r="N33" s="3" t="s">
        <v>70</v>
      </c>
      <c r="O33" s="94">
        <v>5454201</v>
      </c>
      <c r="Q33" s="3" t="s">
        <v>78</v>
      </c>
      <c r="R33" s="3" t="s">
        <v>70</v>
      </c>
      <c r="S33" s="3" t="s">
        <v>78</v>
      </c>
      <c r="T33" s="94">
        <v>5552305</v>
      </c>
      <c r="U33" s="3" t="s">
        <v>70</v>
      </c>
      <c r="V33" s="94">
        <v>5454201</v>
      </c>
      <c r="W33" s="93"/>
      <c r="AB33" s="177" t="s">
        <v>125</v>
      </c>
      <c r="AC33" s="6" t="s">
        <v>3245</v>
      </c>
      <c r="AE33" s="177" t="s">
        <v>125</v>
      </c>
      <c r="AF33" s="292" t="s">
        <v>3245</v>
      </c>
      <c r="AH33" s="177" t="s">
        <v>125</v>
      </c>
      <c r="AI33" s="292" t="s">
        <v>3245</v>
      </c>
      <c r="AK33" s="3" t="s">
        <v>3196</v>
      </c>
      <c r="AM33" s="3" t="s">
        <v>3725</v>
      </c>
      <c r="AO33" s="106"/>
    </row>
    <row r="34" spans="3:41" x14ac:dyDescent="0.25">
      <c r="C34" s="35" t="s">
        <v>1780</v>
      </c>
      <c r="D34" s="9" t="s">
        <v>19</v>
      </c>
      <c r="E34" s="8"/>
      <c r="F34" s="35" t="s">
        <v>1615</v>
      </c>
      <c r="G34" s="46" t="s">
        <v>1783</v>
      </c>
      <c r="H34" s="33" t="s">
        <v>1742</v>
      </c>
      <c r="J34" s="106" t="s">
        <v>380</v>
      </c>
      <c r="L34" s="3" t="s">
        <v>67</v>
      </c>
      <c r="M34" s="3">
        <v>3562102</v>
      </c>
      <c r="N34" s="3" t="s">
        <v>71</v>
      </c>
      <c r="O34" s="94">
        <v>5521102</v>
      </c>
      <c r="Q34" s="3" t="s">
        <v>67</v>
      </c>
      <c r="R34" s="3" t="s">
        <v>71</v>
      </c>
      <c r="S34" s="3" t="s">
        <v>67</v>
      </c>
      <c r="T34" s="94">
        <v>3562102</v>
      </c>
      <c r="U34" s="3" t="s">
        <v>71</v>
      </c>
      <c r="V34" s="94">
        <v>5521102</v>
      </c>
      <c r="W34" s="93"/>
      <c r="AB34" s="177" t="s">
        <v>1317</v>
      </c>
      <c r="AC34" s="6" t="s">
        <v>3246</v>
      </c>
      <c r="AE34" s="177" t="s">
        <v>1317</v>
      </c>
      <c r="AF34" s="292" t="s">
        <v>3246</v>
      </c>
      <c r="AH34" s="177" t="s">
        <v>1317</v>
      </c>
      <c r="AI34" s="292" t="s">
        <v>3246</v>
      </c>
      <c r="AK34" s="3" t="s">
        <v>3194</v>
      </c>
      <c r="AM34" s="3" t="s">
        <v>2921</v>
      </c>
      <c r="AO34" s="106"/>
    </row>
    <row r="35" spans="3:41" x14ac:dyDescent="0.25">
      <c r="C35" s="35" t="s">
        <v>1780</v>
      </c>
      <c r="D35" s="9" t="s">
        <v>20</v>
      </c>
      <c r="E35" s="4"/>
      <c r="F35" s="35" t="s">
        <v>1615</v>
      </c>
      <c r="G35" s="46" t="s">
        <v>1783</v>
      </c>
      <c r="H35" s="33" t="s">
        <v>1743</v>
      </c>
      <c r="L35" s="3" t="s">
        <v>68</v>
      </c>
      <c r="M35" s="3">
        <v>5554101</v>
      </c>
      <c r="N35" s="3" t="s">
        <v>85</v>
      </c>
      <c r="O35" s="94">
        <v>3458213</v>
      </c>
      <c r="Q35" s="3" t="s">
        <v>68</v>
      </c>
      <c r="R35" s="3" t="s">
        <v>85</v>
      </c>
      <c r="S35" s="3" t="s">
        <v>68</v>
      </c>
      <c r="T35" s="94">
        <v>5554101</v>
      </c>
      <c r="U35" s="3" t="s">
        <v>85</v>
      </c>
      <c r="V35" s="94">
        <v>3458213</v>
      </c>
      <c r="W35" s="93"/>
      <c r="AB35" s="177" t="s">
        <v>1318</v>
      </c>
      <c r="AC35" s="6" t="s">
        <v>3247</v>
      </c>
      <c r="AE35" s="177" t="s">
        <v>1318</v>
      </c>
      <c r="AF35" s="292" t="s">
        <v>3247</v>
      </c>
      <c r="AH35" s="177" t="s">
        <v>1318</v>
      </c>
      <c r="AI35" s="292" t="s">
        <v>3247</v>
      </c>
      <c r="AK35" s="3" t="s">
        <v>3741</v>
      </c>
      <c r="AM35" s="3" t="s">
        <v>3198</v>
      </c>
      <c r="AO35" s="106"/>
    </row>
    <row r="36" spans="3:41" x14ac:dyDescent="0.25">
      <c r="C36" s="35" t="s">
        <v>1780</v>
      </c>
      <c r="D36" s="9" t="s">
        <v>21</v>
      </c>
      <c r="E36" s="4"/>
      <c r="F36" s="35" t="s">
        <v>1615</v>
      </c>
      <c r="G36" s="46" t="s">
        <v>1783</v>
      </c>
      <c r="H36" s="33" t="s">
        <v>1744</v>
      </c>
      <c r="L36" s="3" t="s">
        <v>69</v>
      </c>
      <c r="M36" s="3">
        <v>3454201</v>
      </c>
      <c r="N36" s="3" t="s">
        <v>72</v>
      </c>
      <c r="O36" s="94">
        <v>5448101</v>
      </c>
      <c r="Q36" s="3" t="s">
        <v>69</v>
      </c>
      <c r="R36" s="3" t="s">
        <v>72</v>
      </c>
      <c r="S36" s="3" t="s">
        <v>69</v>
      </c>
      <c r="T36" s="94">
        <v>3454201</v>
      </c>
      <c r="U36" s="3" t="s">
        <v>72</v>
      </c>
      <c r="V36" s="94">
        <v>5448101</v>
      </c>
      <c r="W36" s="93"/>
      <c r="AB36" s="177" t="s">
        <v>1319</v>
      </c>
      <c r="AC36" s="6" t="s">
        <v>3248</v>
      </c>
      <c r="AE36" s="177" t="s">
        <v>1319</v>
      </c>
      <c r="AF36" s="292" t="s">
        <v>3248</v>
      </c>
      <c r="AH36" s="177" t="s">
        <v>1319</v>
      </c>
      <c r="AI36" s="292" t="s">
        <v>3248</v>
      </c>
      <c r="AK36" s="3" t="s">
        <v>3528</v>
      </c>
      <c r="AM36" s="3" t="s">
        <v>3162</v>
      </c>
      <c r="AO36" s="106"/>
    </row>
    <row r="37" spans="3:41" x14ac:dyDescent="0.25">
      <c r="C37" s="35" t="s">
        <v>1780</v>
      </c>
      <c r="D37" s="9" t="s">
        <v>22</v>
      </c>
      <c r="E37" s="8"/>
      <c r="F37" s="35" t="s">
        <v>1615</v>
      </c>
      <c r="G37" s="46" t="s">
        <v>1783</v>
      </c>
      <c r="H37" s="33" t="s">
        <v>1746</v>
      </c>
      <c r="L37" s="3" t="s">
        <v>70</v>
      </c>
      <c r="M37" s="3">
        <v>5454201</v>
      </c>
      <c r="N37" s="3" t="s">
        <v>74</v>
      </c>
      <c r="O37" s="94">
        <v>3454202</v>
      </c>
      <c r="Q37" s="3" t="s">
        <v>70</v>
      </c>
      <c r="R37" s="3" t="s">
        <v>74</v>
      </c>
      <c r="S37" s="3" t="s">
        <v>70</v>
      </c>
      <c r="T37" s="94">
        <v>5454201</v>
      </c>
      <c r="U37" s="3" t="s">
        <v>74</v>
      </c>
      <c r="V37" s="94">
        <v>3454202</v>
      </c>
      <c r="W37" s="93"/>
      <c r="AB37" s="177" t="s">
        <v>109</v>
      </c>
      <c r="AC37" s="6" t="s">
        <v>3249</v>
      </c>
      <c r="AE37" s="177" t="s">
        <v>109</v>
      </c>
      <c r="AF37" s="292" t="s">
        <v>3249</v>
      </c>
      <c r="AH37" s="177" t="s">
        <v>109</v>
      </c>
      <c r="AI37" s="292" t="s">
        <v>3249</v>
      </c>
      <c r="AK37" s="3" t="s">
        <v>2880</v>
      </c>
      <c r="AM37" s="3" t="s">
        <v>3740</v>
      </c>
      <c r="AO37" s="106"/>
    </row>
    <row r="38" spans="3:41" x14ac:dyDescent="0.25">
      <c r="C38" s="35" t="s">
        <v>1780</v>
      </c>
      <c r="D38" s="9" t="s">
        <v>23</v>
      </c>
      <c r="E38" s="4"/>
      <c r="H38" s="35" t="s">
        <v>1784</v>
      </c>
      <c r="L38" s="3" t="s">
        <v>71</v>
      </c>
      <c r="M38" s="3">
        <v>5521102</v>
      </c>
      <c r="N38" s="3" t="s">
        <v>76</v>
      </c>
      <c r="O38" s="94">
        <v>3552101</v>
      </c>
      <c r="Q38" s="3" t="s">
        <v>71</v>
      </c>
      <c r="R38" s="3" t="s">
        <v>76</v>
      </c>
      <c r="S38" s="3" t="s">
        <v>71</v>
      </c>
      <c r="T38" s="94">
        <v>5521102</v>
      </c>
      <c r="U38" s="3" t="s">
        <v>76</v>
      </c>
      <c r="V38" s="94">
        <v>3552101</v>
      </c>
      <c r="W38" s="93"/>
      <c r="AB38" s="177" t="s">
        <v>110</v>
      </c>
      <c r="AC38" s="6" t="s">
        <v>3250</v>
      </c>
      <c r="AE38" s="177" t="s">
        <v>110</v>
      </c>
      <c r="AF38" s="292" t="s">
        <v>3250</v>
      </c>
      <c r="AH38" s="177" t="s">
        <v>110</v>
      </c>
      <c r="AI38" s="292" t="s">
        <v>3250</v>
      </c>
      <c r="AK38" s="3" t="s">
        <v>3092</v>
      </c>
      <c r="AM38" s="3" t="s">
        <v>3196</v>
      </c>
      <c r="AO38" s="106"/>
    </row>
    <row r="39" spans="3:41" x14ac:dyDescent="0.25">
      <c r="C39" s="35" t="s">
        <v>1780</v>
      </c>
      <c r="D39" s="9" t="s">
        <v>24</v>
      </c>
      <c r="E39" s="8"/>
      <c r="F39" s="35" t="s">
        <v>1615</v>
      </c>
      <c r="G39" s="46" t="s">
        <v>1784</v>
      </c>
      <c r="H39" s="33" t="s">
        <v>1748</v>
      </c>
      <c r="L39" s="3" t="s">
        <v>85</v>
      </c>
      <c r="M39" s="3">
        <v>3458213</v>
      </c>
      <c r="N39" s="3" t="s">
        <v>77</v>
      </c>
      <c r="O39" s="94">
        <v>5554102</v>
      </c>
      <c r="Q39" s="3" t="s">
        <v>85</v>
      </c>
      <c r="R39" s="3" t="s">
        <v>77</v>
      </c>
      <c r="S39" s="3" t="s">
        <v>85</v>
      </c>
      <c r="T39" s="94">
        <v>3458213</v>
      </c>
      <c r="U39" s="3" t="s">
        <v>77</v>
      </c>
      <c r="V39" s="94">
        <v>5554102</v>
      </c>
      <c r="W39" s="93"/>
      <c r="AB39" s="177" t="s">
        <v>1320</v>
      </c>
      <c r="AC39" s="6" t="s">
        <v>3251</v>
      </c>
      <c r="AE39" s="177" t="s">
        <v>1320</v>
      </c>
      <c r="AF39" s="292" t="s">
        <v>3251</v>
      </c>
      <c r="AH39" s="177" t="s">
        <v>1320</v>
      </c>
      <c r="AI39" s="292" t="s">
        <v>3251</v>
      </c>
      <c r="AK39" s="3" t="s">
        <v>2923</v>
      </c>
      <c r="AM39" s="3" t="s">
        <v>3194</v>
      </c>
      <c r="AO39" s="106"/>
    </row>
    <row r="40" spans="3:41" x14ac:dyDescent="0.25">
      <c r="C40" s="35" t="s">
        <v>1780</v>
      </c>
      <c r="D40" s="9" t="s">
        <v>25</v>
      </c>
      <c r="E40" s="4"/>
      <c r="F40" s="35" t="s">
        <v>1615</v>
      </c>
      <c r="G40" s="46" t="s">
        <v>1784</v>
      </c>
      <c r="H40" s="33" t="s">
        <v>1749</v>
      </c>
      <c r="L40" s="3" t="s">
        <v>72</v>
      </c>
      <c r="M40" s="3">
        <v>5448101</v>
      </c>
      <c r="N40" s="3" t="s">
        <v>79</v>
      </c>
      <c r="O40" s="94">
        <v>3481101</v>
      </c>
      <c r="Q40" s="3" t="s">
        <v>72</v>
      </c>
      <c r="R40" s="3" t="s">
        <v>79</v>
      </c>
      <c r="S40" s="3" t="s">
        <v>72</v>
      </c>
      <c r="T40" s="94">
        <v>5448101</v>
      </c>
      <c r="U40" s="3" t="s">
        <v>79</v>
      </c>
      <c r="V40" s="94">
        <v>3481101</v>
      </c>
      <c r="W40" s="93"/>
      <c r="AB40" s="177" t="s">
        <v>1322</v>
      </c>
      <c r="AC40" s="6" t="s">
        <v>3252</v>
      </c>
      <c r="AE40" s="177" t="s">
        <v>1322</v>
      </c>
      <c r="AF40" s="292" t="s">
        <v>3252</v>
      </c>
      <c r="AH40" s="177" t="s">
        <v>1322</v>
      </c>
      <c r="AI40" s="292" t="s">
        <v>3252</v>
      </c>
      <c r="AK40" s="3" t="s">
        <v>3045</v>
      </c>
      <c r="AM40" s="3" t="s">
        <v>3741</v>
      </c>
      <c r="AO40" s="106"/>
    </row>
    <row r="41" spans="3:41" x14ac:dyDescent="0.25">
      <c r="C41" s="35" t="s">
        <v>1780</v>
      </c>
      <c r="D41" s="9" t="s">
        <v>26</v>
      </c>
      <c r="E41" s="8"/>
      <c r="F41" s="35" t="s">
        <v>1615</v>
      </c>
      <c r="G41" s="46" t="s">
        <v>1784</v>
      </c>
      <c r="H41" s="33" t="s">
        <v>1750</v>
      </c>
      <c r="L41" s="3" t="s">
        <v>74</v>
      </c>
      <c r="M41" s="3">
        <v>3454202</v>
      </c>
      <c r="N41" s="3" t="s">
        <v>91</v>
      </c>
      <c r="O41" s="94">
        <v>3481401</v>
      </c>
      <c r="Q41" s="3" t="s">
        <v>74</v>
      </c>
      <c r="R41" s="3" t="s">
        <v>91</v>
      </c>
      <c r="S41" s="3" t="s">
        <v>74</v>
      </c>
      <c r="T41" s="94">
        <v>3454202</v>
      </c>
      <c r="U41" s="3" t="s">
        <v>91</v>
      </c>
      <c r="V41" s="94">
        <v>3481401</v>
      </c>
      <c r="W41" s="93"/>
      <c r="AB41" s="177" t="s">
        <v>1323</v>
      </c>
      <c r="AC41" s="6" t="s">
        <v>3253</v>
      </c>
      <c r="AE41" s="177" t="s">
        <v>1323</v>
      </c>
      <c r="AF41" s="292" t="s">
        <v>3253</v>
      </c>
      <c r="AH41" s="177" t="s">
        <v>1323</v>
      </c>
      <c r="AI41" s="292" t="s">
        <v>3253</v>
      </c>
      <c r="AK41" s="3" t="s">
        <v>93</v>
      </c>
      <c r="AM41" s="3" t="s">
        <v>3528</v>
      </c>
      <c r="AO41" s="106"/>
    </row>
    <row r="42" spans="3:41" x14ac:dyDescent="0.25">
      <c r="C42" s="35" t="s">
        <v>1780</v>
      </c>
      <c r="D42" s="9" t="s">
        <v>880</v>
      </c>
      <c r="E42" s="4"/>
      <c r="F42" s="35" t="s">
        <v>1615</v>
      </c>
      <c r="G42" s="46" t="s">
        <v>1784</v>
      </c>
      <c r="H42" s="33" t="s">
        <v>1751</v>
      </c>
      <c r="L42" s="3" t="s">
        <v>76</v>
      </c>
      <c r="M42" s="3">
        <v>3552101</v>
      </c>
      <c r="N42" s="3" t="s">
        <v>80</v>
      </c>
      <c r="O42" s="94">
        <v>5572302</v>
      </c>
      <c r="Q42" s="3" t="s">
        <v>76</v>
      </c>
      <c r="R42" s="3" t="s">
        <v>80</v>
      </c>
      <c r="S42" s="3" t="s">
        <v>76</v>
      </c>
      <c r="T42" s="94">
        <v>3552101</v>
      </c>
      <c r="U42" s="3" t="s">
        <v>80</v>
      </c>
      <c r="V42" s="94">
        <v>5572302</v>
      </c>
      <c r="W42" s="93"/>
      <c r="AB42" s="177" t="s">
        <v>1324</v>
      </c>
      <c r="AC42" s="6" t="s">
        <v>3254</v>
      </c>
      <c r="AE42" s="177" t="s">
        <v>1324</v>
      </c>
      <c r="AF42" s="292" t="s">
        <v>3254</v>
      </c>
      <c r="AH42" s="177" t="s">
        <v>1324</v>
      </c>
      <c r="AI42" s="292" t="s">
        <v>3254</v>
      </c>
      <c r="AK42" s="3" t="s">
        <v>3512</v>
      </c>
      <c r="AM42" s="3" t="s">
        <v>2880</v>
      </c>
      <c r="AO42" s="106"/>
    </row>
    <row r="43" spans="3:41" x14ac:dyDescent="0.25">
      <c r="C43" s="35" t="s">
        <v>1780</v>
      </c>
      <c r="D43" s="9" t="s">
        <v>914</v>
      </c>
      <c r="E43" s="4"/>
      <c r="F43" s="35" t="s">
        <v>1615</v>
      </c>
      <c r="G43" s="46" t="s">
        <v>1784</v>
      </c>
      <c r="H43" s="33" t="s">
        <v>1752</v>
      </c>
      <c r="L43" s="3" t="s">
        <v>77</v>
      </c>
      <c r="M43" s="3">
        <v>5554102</v>
      </c>
      <c r="N43" s="3" t="s">
        <v>81</v>
      </c>
      <c r="O43" s="94">
        <v>5421101</v>
      </c>
      <c r="Q43" s="3" t="s">
        <v>77</v>
      </c>
      <c r="R43" s="3" t="s">
        <v>81</v>
      </c>
      <c r="S43" s="3" t="s">
        <v>77</v>
      </c>
      <c r="T43" s="94">
        <v>5554102</v>
      </c>
      <c r="U43" s="3" t="s">
        <v>81</v>
      </c>
      <c r="V43" s="94">
        <v>5421101</v>
      </c>
      <c r="W43" s="93"/>
      <c r="AB43" s="177" t="s">
        <v>1983</v>
      </c>
      <c r="AC43" s="6" t="s">
        <v>3255</v>
      </c>
      <c r="AE43" s="177" t="s">
        <v>1983</v>
      </c>
      <c r="AF43" s="292" t="s">
        <v>3255</v>
      </c>
      <c r="AH43" s="177" t="s">
        <v>1983</v>
      </c>
      <c r="AI43" s="292" t="s">
        <v>3255</v>
      </c>
      <c r="AK43" s="3" t="s">
        <v>3529</v>
      </c>
      <c r="AM43" s="3" t="s">
        <v>3092</v>
      </c>
      <c r="AO43" s="106"/>
    </row>
    <row r="44" spans="3:41" x14ac:dyDescent="0.25">
      <c r="C44" s="35" t="s">
        <v>1780</v>
      </c>
      <c r="D44" s="9" t="s">
        <v>27</v>
      </c>
      <c r="E44" s="4"/>
      <c r="F44" s="35" t="s">
        <v>1615</v>
      </c>
      <c r="G44" s="46" t="s">
        <v>1784</v>
      </c>
      <c r="H44" s="33" t="s">
        <v>1753</v>
      </c>
      <c r="L44" s="3" t="s">
        <v>79</v>
      </c>
      <c r="M44" s="3">
        <v>3481101</v>
      </c>
      <c r="N44" s="3" t="s">
        <v>93</v>
      </c>
      <c r="O44" s="94">
        <v>3576201</v>
      </c>
      <c r="Q44" s="3" t="s">
        <v>79</v>
      </c>
      <c r="R44" s="3" t="s">
        <v>93</v>
      </c>
      <c r="S44" s="3" t="s">
        <v>79</v>
      </c>
      <c r="T44" s="94">
        <v>3481101</v>
      </c>
      <c r="U44" s="3" t="s">
        <v>93</v>
      </c>
      <c r="V44" s="94">
        <v>3576201</v>
      </c>
      <c r="W44" s="93"/>
      <c r="AB44" s="177" t="s">
        <v>117</v>
      </c>
      <c r="AC44" s="6" t="s">
        <v>3256</v>
      </c>
      <c r="AE44" s="177" t="s">
        <v>117</v>
      </c>
      <c r="AF44" s="292" t="s">
        <v>3256</v>
      </c>
      <c r="AH44" s="177" t="s">
        <v>117</v>
      </c>
      <c r="AI44" s="292" t="s">
        <v>3256</v>
      </c>
      <c r="AK44" s="3" t="s">
        <v>3521</v>
      </c>
      <c r="AM44" s="3" t="s">
        <v>2923</v>
      </c>
      <c r="AO44" s="106"/>
    </row>
    <row r="45" spans="3:41" x14ac:dyDescent="0.25">
      <c r="C45" s="35" t="s">
        <v>1780</v>
      </c>
      <c r="D45" s="9" t="s">
        <v>28</v>
      </c>
      <c r="E45" s="8"/>
      <c r="F45" s="35" t="s">
        <v>1615</v>
      </c>
      <c r="G45" s="46" t="s">
        <v>1784</v>
      </c>
      <c r="H45" s="33" t="s">
        <v>1754</v>
      </c>
      <c r="L45" s="3" t="s">
        <v>91</v>
      </c>
      <c r="M45" s="3">
        <v>3481401</v>
      </c>
      <c r="N45" s="3" t="s">
        <v>82</v>
      </c>
      <c r="O45" s="94">
        <v>3581103</v>
      </c>
      <c r="Q45" s="3" t="s">
        <v>91</v>
      </c>
      <c r="R45" s="3" t="s">
        <v>82</v>
      </c>
      <c r="S45" s="3" t="s">
        <v>91</v>
      </c>
      <c r="T45" s="94">
        <v>3481401</v>
      </c>
      <c r="U45" s="3" t="s">
        <v>82</v>
      </c>
      <c r="V45" s="94">
        <v>3581103</v>
      </c>
      <c r="W45" s="93"/>
      <c r="AB45" s="177" t="s">
        <v>118</v>
      </c>
      <c r="AC45" s="6" t="s">
        <v>3257</v>
      </c>
      <c r="AE45" s="177" t="s">
        <v>118</v>
      </c>
      <c r="AF45" s="292" t="s">
        <v>3257</v>
      </c>
      <c r="AH45" s="177" t="s">
        <v>118</v>
      </c>
      <c r="AI45" s="292" t="s">
        <v>3257</v>
      </c>
      <c r="AK45" s="3" t="s">
        <v>86</v>
      </c>
      <c r="AM45" s="3" t="s">
        <v>3045</v>
      </c>
      <c r="AO45" s="106"/>
    </row>
    <row r="46" spans="3:41" x14ac:dyDescent="0.25">
      <c r="C46" s="35" t="s">
        <v>1780</v>
      </c>
      <c r="D46" s="9" t="s">
        <v>29</v>
      </c>
      <c r="E46" s="4"/>
      <c r="F46" s="35" t="s">
        <v>1615</v>
      </c>
      <c r="G46" s="46" t="s">
        <v>1784</v>
      </c>
      <c r="H46" s="33" t="s">
        <v>3452</v>
      </c>
      <c r="L46" s="3" t="s">
        <v>80</v>
      </c>
      <c r="M46" s="3">
        <v>5572302</v>
      </c>
      <c r="N46" s="3" t="s">
        <v>83</v>
      </c>
      <c r="O46" s="94">
        <v>5521103</v>
      </c>
      <c r="Q46" s="3" t="s">
        <v>80</v>
      </c>
      <c r="R46" s="3" t="s">
        <v>83</v>
      </c>
      <c r="S46" s="3" t="s">
        <v>80</v>
      </c>
      <c r="T46" s="94">
        <v>5572302</v>
      </c>
      <c r="U46" s="3" t="s">
        <v>83</v>
      </c>
      <c r="V46" s="94">
        <v>5521103</v>
      </c>
      <c r="W46" s="93"/>
      <c r="AB46" s="177" t="s">
        <v>120</v>
      </c>
      <c r="AC46" s="6" t="s">
        <v>3258</v>
      </c>
      <c r="AE46" s="177" t="s">
        <v>120</v>
      </c>
      <c r="AF46" s="292" t="s">
        <v>3258</v>
      </c>
      <c r="AH46" s="177" t="s">
        <v>120</v>
      </c>
      <c r="AI46" s="292" t="s">
        <v>3258</v>
      </c>
      <c r="AK46" s="3" t="s">
        <v>87</v>
      </c>
      <c r="AM46" s="3" t="s">
        <v>3034</v>
      </c>
      <c r="AO46" s="106"/>
    </row>
    <row r="47" spans="3:41" x14ac:dyDescent="0.25">
      <c r="C47" s="35" t="s">
        <v>1780</v>
      </c>
      <c r="D47" s="9" t="s">
        <v>30</v>
      </c>
      <c r="E47" s="4"/>
      <c r="F47" s="35" t="s">
        <v>1615</v>
      </c>
      <c r="G47" s="46" t="s">
        <v>1784</v>
      </c>
      <c r="H47" s="33" t="s">
        <v>1756</v>
      </c>
      <c r="L47" s="3" t="s">
        <v>81</v>
      </c>
      <c r="M47" s="3">
        <v>5421101</v>
      </c>
      <c r="N47" s="3" t="s">
        <v>84</v>
      </c>
      <c r="O47" s="94">
        <v>5521104</v>
      </c>
      <c r="Q47" s="3" t="s">
        <v>81</v>
      </c>
      <c r="R47" s="3" t="s">
        <v>84</v>
      </c>
      <c r="S47" s="3" t="s">
        <v>81</v>
      </c>
      <c r="T47" s="94">
        <v>5421101</v>
      </c>
      <c r="U47" s="3" t="s">
        <v>84</v>
      </c>
      <c r="V47" s="94">
        <v>5521104</v>
      </c>
      <c r="W47" s="93"/>
      <c r="AB47" s="177" t="s">
        <v>1326</v>
      </c>
      <c r="AC47" s="6" t="s">
        <v>3259</v>
      </c>
      <c r="AE47" s="177" t="s">
        <v>1326</v>
      </c>
      <c r="AF47" s="292" t="s">
        <v>3259</v>
      </c>
      <c r="AH47" s="177" t="s">
        <v>1326</v>
      </c>
      <c r="AI47" s="292" t="s">
        <v>3259</v>
      </c>
      <c r="AK47" s="3" t="s">
        <v>3772</v>
      </c>
      <c r="AM47" s="3" t="s">
        <v>93</v>
      </c>
      <c r="AO47" s="106"/>
    </row>
    <row r="48" spans="3:41" x14ac:dyDescent="0.25">
      <c r="C48" s="35" t="s">
        <v>1780</v>
      </c>
      <c r="D48" s="9" t="s">
        <v>928</v>
      </c>
      <c r="E48" s="8"/>
      <c r="F48" s="35" t="s">
        <v>1615</v>
      </c>
      <c r="G48" s="46" t="s">
        <v>1784</v>
      </c>
      <c r="H48" s="33" t="s">
        <v>1757</v>
      </c>
      <c r="L48" s="3" t="s">
        <v>93</v>
      </c>
      <c r="M48" s="3">
        <v>3576201</v>
      </c>
      <c r="N48" s="3" t="s">
        <v>86</v>
      </c>
      <c r="O48" s="94">
        <v>3421101</v>
      </c>
      <c r="Q48" s="3" t="s">
        <v>93</v>
      </c>
      <c r="R48" s="3" t="s">
        <v>86</v>
      </c>
      <c r="S48" s="3" t="s">
        <v>93</v>
      </c>
      <c r="T48" s="94">
        <v>3576201</v>
      </c>
      <c r="U48" s="3" t="s">
        <v>86</v>
      </c>
      <c r="V48" s="94">
        <v>3421101</v>
      </c>
      <c r="W48" s="93"/>
      <c r="AB48" s="177" t="s">
        <v>121</v>
      </c>
      <c r="AC48" s="6" t="s">
        <v>3260</v>
      </c>
      <c r="AE48" s="177" t="s">
        <v>121</v>
      </c>
      <c r="AF48" s="292" t="s">
        <v>3260</v>
      </c>
      <c r="AH48" s="177" t="s">
        <v>121</v>
      </c>
      <c r="AI48" s="292" t="s">
        <v>3260</v>
      </c>
      <c r="AK48" s="3" t="s">
        <v>3773</v>
      </c>
      <c r="AM48" s="3" t="s">
        <v>1973</v>
      </c>
      <c r="AO48" s="106"/>
    </row>
    <row r="49" spans="3:41" x14ac:dyDescent="0.25">
      <c r="C49" s="35" t="s">
        <v>1780</v>
      </c>
      <c r="D49" s="9" t="s">
        <v>31</v>
      </c>
      <c r="E49" s="4"/>
      <c r="F49" s="35" t="s">
        <v>1615</v>
      </c>
      <c r="G49" s="46" t="s">
        <v>1784</v>
      </c>
      <c r="H49" s="33" t="s">
        <v>1758</v>
      </c>
      <c r="L49" s="3" t="s">
        <v>82</v>
      </c>
      <c r="M49" s="3">
        <v>3581103</v>
      </c>
      <c r="N49" s="3" t="s">
        <v>87</v>
      </c>
      <c r="O49" s="94">
        <v>3462201</v>
      </c>
      <c r="Q49" s="3" t="s">
        <v>82</v>
      </c>
      <c r="R49" s="3" t="s">
        <v>87</v>
      </c>
      <c r="S49" s="3" t="s">
        <v>82</v>
      </c>
      <c r="T49" s="94">
        <v>3581103</v>
      </c>
      <c r="U49" s="3" t="s">
        <v>87</v>
      </c>
      <c r="V49" s="94">
        <v>3462201</v>
      </c>
      <c r="W49" s="93"/>
      <c r="AB49" s="177" t="s">
        <v>122</v>
      </c>
      <c r="AC49" s="6" t="s">
        <v>3261</v>
      </c>
      <c r="AE49" s="177" t="s">
        <v>122</v>
      </c>
      <c r="AF49" s="292" t="s">
        <v>3261</v>
      </c>
      <c r="AH49" s="177" t="s">
        <v>122</v>
      </c>
      <c r="AI49" s="292" t="s">
        <v>3261</v>
      </c>
      <c r="AK49" s="3" t="s">
        <v>2907</v>
      </c>
      <c r="AM49" s="3" t="s">
        <v>3512</v>
      </c>
      <c r="AO49" s="106"/>
    </row>
    <row r="50" spans="3:41" x14ac:dyDescent="0.25">
      <c r="C50" s="35" t="s">
        <v>1780</v>
      </c>
      <c r="D50" s="9" t="s">
        <v>826</v>
      </c>
      <c r="E50" s="4"/>
      <c r="F50" s="35" t="s">
        <v>1615</v>
      </c>
      <c r="G50" s="46" t="s">
        <v>1784</v>
      </c>
      <c r="H50" s="33" t="s">
        <v>1759</v>
      </c>
      <c r="L50" s="3" t="s">
        <v>83</v>
      </c>
      <c r="M50" s="3">
        <v>5521103</v>
      </c>
      <c r="N50" s="3" t="s">
        <v>88</v>
      </c>
      <c r="O50" s="94">
        <v>5421102</v>
      </c>
      <c r="Q50" s="3" t="s">
        <v>83</v>
      </c>
      <c r="R50" s="3" t="s">
        <v>88</v>
      </c>
      <c r="S50" s="3" t="s">
        <v>83</v>
      </c>
      <c r="T50" s="94">
        <v>5521103</v>
      </c>
      <c r="U50" s="3" t="s">
        <v>88</v>
      </c>
      <c r="V50" s="94">
        <v>5421102</v>
      </c>
      <c r="W50" s="93"/>
      <c r="AB50" s="177" t="s">
        <v>126</v>
      </c>
      <c r="AC50" s="6" t="s">
        <v>3262</v>
      </c>
      <c r="AE50" s="177" t="s">
        <v>126</v>
      </c>
      <c r="AF50" s="292" t="s">
        <v>3262</v>
      </c>
      <c r="AH50" s="177" t="s">
        <v>126</v>
      </c>
      <c r="AI50" s="292" t="s">
        <v>3262</v>
      </c>
      <c r="AK50" s="3" t="s">
        <v>2943</v>
      </c>
      <c r="AM50" s="3" t="s">
        <v>3529</v>
      </c>
      <c r="AO50" s="106"/>
    </row>
    <row r="51" spans="3:41" x14ac:dyDescent="0.25">
      <c r="C51" s="35" t="s">
        <v>1780</v>
      </c>
      <c r="D51" s="9" t="s">
        <v>32</v>
      </c>
      <c r="E51" s="4"/>
      <c r="H51" s="35" t="s">
        <v>1799</v>
      </c>
      <c r="L51" s="3" t="s">
        <v>84</v>
      </c>
      <c r="M51" s="3">
        <v>5521104</v>
      </c>
      <c r="N51" s="3" t="s">
        <v>89</v>
      </c>
      <c r="O51" s="94">
        <v>5552401</v>
      </c>
      <c r="Q51" s="3" t="s">
        <v>84</v>
      </c>
      <c r="R51" s="3" t="s">
        <v>89</v>
      </c>
      <c r="S51" s="3" t="s">
        <v>84</v>
      </c>
      <c r="T51" s="94">
        <v>5521104</v>
      </c>
      <c r="U51" s="3" t="s">
        <v>89</v>
      </c>
      <c r="V51" s="94">
        <v>5552401</v>
      </c>
      <c r="W51" s="93"/>
      <c r="AB51" s="177" t="s">
        <v>1330</v>
      </c>
      <c r="AC51" s="6" t="s">
        <v>3263</v>
      </c>
      <c r="AE51" s="177" t="s">
        <v>1330</v>
      </c>
      <c r="AF51" s="292" t="s">
        <v>3263</v>
      </c>
      <c r="AH51" s="177" t="s">
        <v>1330</v>
      </c>
      <c r="AI51" s="292" t="s">
        <v>3263</v>
      </c>
      <c r="AK51" s="3" t="s">
        <v>3018</v>
      </c>
      <c r="AM51" s="3" t="s">
        <v>83</v>
      </c>
      <c r="AO51" s="106"/>
    </row>
    <row r="52" spans="3:41" x14ac:dyDescent="0.25">
      <c r="C52" s="35" t="s">
        <v>1780</v>
      </c>
      <c r="D52" s="9" t="s">
        <v>33</v>
      </c>
      <c r="E52" s="8"/>
      <c r="F52" s="35" t="s">
        <v>1615</v>
      </c>
      <c r="G52" s="46" t="s">
        <v>1799</v>
      </c>
      <c r="H52" s="33" t="s">
        <v>1760</v>
      </c>
      <c r="L52" s="3" t="s">
        <v>86</v>
      </c>
      <c r="M52" s="3">
        <v>3421101</v>
      </c>
      <c r="N52" s="3" t="s">
        <v>90</v>
      </c>
      <c r="O52" s="94">
        <v>3454101</v>
      </c>
      <c r="Q52" s="3" t="s">
        <v>86</v>
      </c>
      <c r="R52" s="3" t="s">
        <v>90</v>
      </c>
      <c r="S52" s="3" t="s">
        <v>86</v>
      </c>
      <c r="T52" s="94">
        <v>3421101</v>
      </c>
      <c r="U52" s="3" t="s">
        <v>90</v>
      </c>
      <c r="V52" s="94">
        <v>3454101</v>
      </c>
      <c r="W52" s="93"/>
      <c r="AB52" s="177" t="s">
        <v>132</v>
      </c>
      <c r="AC52" s="6" t="s">
        <v>3264</v>
      </c>
      <c r="AE52" s="177" t="s">
        <v>132</v>
      </c>
      <c r="AF52" s="292" t="s">
        <v>3264</v>
      </c>
      <c r="AH52" s="177" t="s">
        <v>132</v>
      </c>
      <c r="AI52" s="292" t="s">
        <v>3264</v>
      </c>
      <c r="AK52" s="3" t="s">
        <v>3573</v>
      </c>
      <c r="AM52" s="3" t="s">
        <v>3521</v>
      </c>
      <c r="AO52" s="106"/>
    </row>
    <row r="53" spans="3:41" x14ac:dyDescent="0.25">
      <c r="C53" s="35" t="s">
        <v>1780</v>
      </c>
      <c r="D53" s="9" t="s">
        <v>778</v>
      </c>
      <c r="E53" s="4"/>
      <c r="F53" s="35" t="s">
        <v>1615</v>
      </c>
      <c r="G53" s="46" t="s">
        <v>1799</v>
      </c>
      <c r="H53" s="33" t="s">
        <v>1761</v>
      </c>
      <c r="L53" s="3" t="s">
        <v>87</v>
      </c>
      <c r="M53" s="3">
        <v>3462201</v>
      </c>
      <c r="N53" s="3" t="s">
        <v>102</v>
      </c>
      <c r="O53" s="94">
        <v>5534403</v>
      </c>
      <c r="Q53" s="3" t="s">
        <v>87</v>
      </c>
      <c r="R53" s="3" t="s">
        <v>102</v>
      </c>
      <c r="S53" s="3" t="s">
        <v>87</v>
      </c>
      <c r="T53" s="94">
        <v>3462201</v>
      </c>
      <c r="U53" s="3" t="s">
        <v>102</v>
      </c>
      <c r="V53" s="94">
        <v>5534403</v>
      </c>
      <c r="W53" s="93"/>
      <c r="AB53" s="177" t="s">
        <v>135</v>
      </c>
      <c r="AC53" s="6" t="s">
        <v>3265</v>
      </c>
      <c r="AE53" s="177" t="s">
        <v>135</v>
      </c>
      <c r="AF53" s="292" t="s">
        <v>3265</v>
      </c>
      <c r="AH53" s="177" t="s">
        <v>135</v>
      </c>
      <c r="AI53" s="292" t="s">
        <v>3265</v>
      </c>
      <c r="AK53" s="3" t="s">
        <v>3574</v>
      </c>
      <c r="AM53" s="3" t="s">
        <v>2700</v>
      </c>
      <c r="AO53" s="106"/>
    </row>
    <row r="54" spans="3:41" x14ac:dyDescent="0.25">
      <c r="C54" s="35" t="s">
        <v>1780</v>
      </c>
      <c r="D54" s="9" t="s">
        <v>34</v>
      </c>
      <c r="E54" s="8"/>
      <c r="F54" s="35" t="s">
        <v>1615</v>
      </c>
      <c r="G54" s="46" t="s">
        <v>1799</v>
      </c>
      <c r="H54" s="33" t="s">
        <v>1762</v>
      </c>
      <c r="L54" s="3" t="s">
        <v>88</v>
      </c>
      <c r="M54" s="3">
        <v>5421102</v>
      </c>
      <c r="N54" s="3" t="s">
        <v>104</v>
      </c>
      <c r="O54" s="94">
        <v>5521203</v>
      </c>
      <c r="Q54" s="3" t="s">
        <v>88</v>
      </c>
      <c r="R54" s="3" t="s">
        <v>104</v>
      </c>
      <c r="S54" s="3" t="s">
        <v>88</v>
      </c>
      <c r="T54" s="94">
        <v>5421102</v>
      </c>
      <c r="U54" s="3" t="s">
        <v>104</v>
      </c>
      <c r="V54" s="94">
        <v>5521203</v>
      </c>
      <c r="W54" s="93"/>
      <c r="AB54" s="177" t="s">
        <v>1333</v>
      </c>
      <c r="AC54" s="6" t="s">
        <v>3266</v>
      </c>
      <c r="AE54" s="177" t="s">
        <v>1333</v>
      </c>
      <c r="AF54" s="292" t="s">
        <v>3266</v>
      </c>
      <c r="AH54" s="177" t="s">
        <v>1333</v>
      </c>
      <c r="AI54" s="292" t="s">
        <v>3266</v>
      </c>
      <c r="AK54" s="3" t="s">
        <v>3575</v>
      </c>
      <c r="AM54" s="3" t="s">
        <v>87</v>
      </c>
      <c r="AO54" s="106"/>
    </row>
    <row r="55" spans="3:41" x14ac:dyDescent="0.25">
      <c r="C55" s="35" t="s">
        <v>1780</v>
      </c>
      <c r="D55" s="11" t="s">
        <v>35</v>
      </c>
      <c r="E55" s="4"/>
      <c r="F55" s="35" t="s">
        <v>1615</v>
      </c>
      <c r="G55" s="46" t="s">
        <v>1799</v>
      </c>
      <c r="H55" s="33" t="s">
        <v>1763</v>
      </c>
      <c r="L55" s="3" t="s">
        <v>89</v>
      </c>
      <c r="M55" s="3">
        <v>5552401</v>
      </c>
      <c r="N55" s="3" t="s">
        <v>105</v>
      </c>
      <c r="O55" s="94">
        <v>5421202</v>
      </c>
      <c r="Q55" s="3" t="s">
        <v>89</v>
      </c>
      <c r="R55" s="3" t="s">
        <v>105</v>
      </c>
      <c r="S55" s="3" t="s">
        <v>89</v>
      </c>
      <c r="T55" s="94">
        <v>5552401</v>
      </c>
      <c r="U55" s="3" t="s">
        <v>105</v>
      </c>
      <c r="V55" s="94">
        <v>5421202</v>
      </c>
      <c r="W55" s="93"/>
      <c r="AB55" s="177" t="s">
        <v>1334</v>
      </c>
      <c r="AC55" s="6" t="s">
        <v>3267</v>
      </c>
      <c r="AE55" s="177" t="s">
        <v>1334</v>
      </c>
      <c r="AF55" s="292" t="s">
        <v>3267</v>
      </c>
      <c r="AH55" s="177" t="s">
        <v>1334</v>
      </c>
      <c r="AI55" s="292" t="s">
        <v>3267</v>
      </c>
      <c r="AK55" s="3" t="s">
        <v>3002</v>
      </c>
      <c r="AM55" s="3" t="s">
        <v>2619</v>
      </c>
      <c r="AO55" s="106"/>
    </row>
    <row r="56" spans="3:41" x14ac:dyDescent="0.25">
      <c r="C56" s="106"/>
      <c r="D56" s="106"/>
      <c r="E56" s="8"/>
      <c r="F56" s="35" t="s">
        <v>1615</v>
      </c>
      <c r="G56" s="46" t="s">
        <v>1799</v>
      </c>
      <c r="H56" s="33" t="s">
        <v>1764</v>
      </c>
      <c r="L56" s="3" t="s">
        <v>90</v>
      </c>
      <c r="M56" s="3">
        <v>3454101</v>
      </c>
      <c r="N56" s="3" t="s">
        <v>92</v>
      </c>
      <c r="O56" s="94">
        <v>3434101</v>
      </c>
      <c r="Q56" s="3" t="s">
        <v>90</v>
      </c>
      <c r="R56" s="3" t="s">
        <v>92</v>
      </c>
      <c r="S56" s="3" t="s">
        <v>90</v>
      </c>
      <c r="T56" s="94">
        <v>3454101</v>
      </c>
      <c r="U56" s="3" t="s">
        <v>92</v>
      </c>
      <c r="V56" s="94">
        <v>3434101</v>
      </c>
      <c r="W56" s="93"/>
      <c r="AB56" s="177" t="s">
        <v>1335</v>
      </c>
      <c r="AC56" s="6" t="s">
        <v>3268</v>
      </c>
      <c r="AE56" s="177" t="s">
        <v>1335</v>
      </c>
      <c r="AF56" s="292" t="s">
        <v>3268</v>
      </c>
      <c r="AH56" s="177" t="s">
        <v>1335</v>
      </c>
      <c r="AI56" s="292" t="s">
        <v>3268</v>
      </c>
      <c r="AK56" s="3" t="s">
        <v>3003</v>
      </c>
      <c r="AM56" s="3" t="s">
        <v>2511</v>
      </c>
      <c r="AO56" s="106"/>
    </row>
    <row r="57" spans="3:41" x14ac:dyDescent="0.25">
      <c r="C57" s="106"/>
      <c r="D57" s="106"/>
      <c r="E57" s="4"/>
      <c r="F57" s="35" t="s">
        <v>1615</v>
      </c>
      <c r="G57" s="46" t="s">
        <v>1799</v>
      </c>
      <c r="H57" s="33" t="s">
        <v>1765</v>
      </c>
      <c r="L57" s="3" t="s">
        <v>102</v>
      </c>
      <c r="M57" s="3">
        <v>5534403</v>
      </c>
      <c r="N57" s="3" t="s">
        <v>94</v>
      </c>
      <c r="O57" s="94">
        <v>3452201</v>
      </c>
      <c r="Q57" s="3" t="s">
        <v>102</v>
      </c>
      <c r="R57" s="3" t="s">
        <v>94</v>
      </c>
      <c r="S57" s="3" t="s">
        <v>102</v>
      </c>
      <c r="T57" s="94">
        <v>5534403</v>
      </c>
      <c r="U57" s="3" t="s">
        <v>94</v>
      </c>
      <c r="V57" s="94">
        <v>3452201</v>
      </c>
      <c r="W57" s="93"/>
      <c r="AB57" s="177" t="s">
        <v>139</v>
      </c>
      <c r="AC57" s="6" t="s">
        <v>3269</v>
      </c>
      <c r="AE57" s="177" t="s">
        <v>139</v>
      </c>
      <c r="AF57" s="292" t="s">
        <v>3269</v>
      </c>
      <c r="AH57" s="177" t="s">
        <v>139</v>
      </c>
      <c r="AI57" s="292" t="s">
        <v>3269</v>
      </c>
      <c r="AK57" s="3" t="s">
        <v>3576</v>
      </c>
      <c r="AM57" s="3" t="s">
        <v>2907</v>
      </c>
      <c r="AO57" s="106"/>
    </row>
    <row r="58" spans="3:41" x14ac:dyDescent="0.25">
      <c r="C58" s="106"/>
      <c r="D58" s="106"/>
      <c r="E58" s="4"/>
      <c r="F58" s="35" t="s">
        <v>1615</v>
      </c>
      <c r="G58" s="46" t="s">
        <v>1799</v>
      </c>
      <c r="H58" s="33" t="s">
        <v>1766</v>
      </c>
      <c r="L58" s="3" t="s">
        <v>104</v>
      </c>
      <c r="M58" s="3">
        <v>5521203</v>
      </c>
      <c r="N58" s="3" t="s">
        <v>95</v>
      </c>
      <c r="O58" s="94">
        <v>3452202</v>
      </c>
      <c r="Q58" s="3" t="s">
        <v>104</v>
      </c>
      <c r="R58" s="3" t="s">
        <v>95</v>
      </c>
      <c r="S58" s="3" t="s">
        <v>104</v>
      </c>
      <c r="T58" s="94">
        <v>5521203</v>
      </c>
      <c r="U58" s="3" t="s">
        <v>95</v>
      </c>
      <c r="V58" s="94">
        <v>3452202</v>
      </c>
      <c r="W58" s="93"/>
      <c r="AB58" s="177" t="s">
        <v>1336</v>
      </c>
      <c r="AC58" s="6" t="s">
        <v>3270</v>
      </c>
      <c r="AE58" s="177" t="s">
        <v>1336</v>
      </c>
      <c r="AF58" s="292" t="s">
        <v>3270</v>
      </c>
      <c r="AH58" s="177" t="s">
        <v>1336</v>
      </c>
      <c r="AI58" s="292" t="s">
        <v>3270</v>
      </c>
      <c r="AK58" s="3" t="s">
        <v>3004</v>
      </c>
      <c r="AM58" s="3" t="s">
        <v>3513</v>
      </c>
      <c r="AO58" s="106"/>
    </row>
    <row r="59" spans="3:41" x14ac:dyDescent="0.25">
      <c r="C59" s="106"/>
      <c r="D59" s="106"/>
      <c r="E59" s="8"/>
      <c r="F59" s="35" t="s">
        <v>1615</v>
      </c>
      <c r="G59" s="46" t="s">
        <v>1799</v>
      </c>
      <c r="H59" s="33" t="s">
        <v>1767</v>
      </c>
      <c r="L59" s="3" t="s">
        <v>105</v>
      </c>
      <c r="M59" s="3">
        <v>5421202</v>
      </c>
      <c r="N59" s="3" t="s">
        <v>96</v>
      </c>
      <c r="O59" s="94">
        <v>3452203</v>
      </c>
      <c r="Q59" s="3" t="s">
        <v>105</v>
      </c>
      <c r="R59" s="3" t="s">
        <v>96</v>
      </c>
      <c r="S59" s="3" t="s">
        <v>105</v>
      </c>
      <c r="T59" s="94">
        <v>5421202</v>
      </c>
      <c r="U59" s="3" t="s">
        <v>96</v>
      </c>
      <c r="V59" s="94">
        <v>3452203</v>
      </c>
      <c r="W59" s="93"/>
      <c r="AB59" s="177" t="s">
        <v>144</v>
      </c>
      <c r="AC59" s="6" t="s">
        <v>3271</v>
      </c>
      <c r="AE59" s="177" t="s">
        <v>144</v>
      </c>
      <c r="AF59" s="292" t="s">
        <v>3271</v>
      </c>
      <c r="AH59" s="177" t="s">
        <v>144</v>
      </c>
      <c r="AI59" s="292" t="s">
        <v>3271</v>
      </c>
      <c r="AK59" s="3" t="s">
        <v>3726</v>
      </c>
      <c r="AM59" s="3" t="s">
        <v>3717</v>
      </c>
      <c r="AO59" s="106"/>
    </row>
    <row r="60" spans="3:41" x14ac:dyDescent="0.25">
      <c r="C60" s="106"/>
      <c r="D60" s="106"/>
      <c r="E60" s="4"/>
      <c r="F60" s="35" t="s">
        <v>1615</v>
      </c>
      <c r="G60" s="46" t="s">
        <v>1799</v>
      </c>
      <c r="H60" s="33" t="s">
        <v>1768</v>
      </c>
      <c r="L60" s="3" t="s">
        <v>92</v>
      </c>
      <c r="M60" s="3">
        <v>3434101</v>
      </c>
      <c r="N60" s="3" t="s">
        <v>97</v>
      </c>
      <c r="O60" s="94">
        <v>5452302</v>
      </c>
      <c r="Q60" s="3" t="s">
        <v>92</v>
      </c>
      <c r="R60" s="3" t="s">
        <v>97</v>
      </c>
      <c r="S60" s="3" t="s">
        <v>92</v>
      </c>
      <c r="T60" s="94">
        <v>3434101</v>
      </c>
      <c r="U60" s="3" t="s">
        <v>97</v>
      </c>
      <c r="V60" s="94">
        <v>5452302</v>
      </c>
      <c r="W60" s="93"/>
      <c r="AB60" s="177" t="s">
        <v>145</v>
      </c>
      <c r="AC60" s="6" t="s">
        <v>3272</v>
      </c>
      <c r="AE60" s="177" t="s">
        <v>145</v>
      </c>
      <c r="AF60" s="292" t="s">
        <v>3272</v>
      </c>
      <c r="AH60" s="177" t="s">
        <v>145</v>
      </c>
      <c r="AI60" s="292" t="s">
        <v>3272</v>
      </c>
      <c r="AK60" s="3" t="s">
        <v>2926</v>
      </c>
      <c r="AM60" s="3" t="s">
        <v>2943</v>
      </c>
      <c r="AO60" s="106"/>
    </row>
    <row r="61" spans="3:41" x14ac:dyDescent="0.25">
      <c r="C61" s="106"/>
      <c r="D61" s="106"/>
      <c r="E61" s="4"/>
      <c r="F61" s="35" t="s">
        <v>1615</v>
      </c>
      <c r="G61" s="46" t="s">
        <v>1799</v>
      </c>
      <c r="H61" s="33" t="s">
        <v>1769</v>
      </c>
      <c r="L61" s="3" t="s">
        <v>94</v>
      </c>
      <c r="M61" s="3">
        <v>3452201</v>
      </c>
      <c r="N61" s="3" t="s">
        <v>112</v>
      </c>
      <c r="O61" s="94">
        <v>5552301</v>
      </c>
      <c r="Q61" s="3" t="s">
        <v>94</v>
      </c>
      <c r="R61" s="3" t="s">
        <v>112</v>
      </c>
      <c r="S61" s="3" t="s">
        <v>94</v>
      </c>
      <c r="T61" s="94">
        <v>3452201</v>
      </c>
      <c r="U61" s="3" t="s">
        <v>112</v>
      </c>
      <c r="V61" s="94">
        <v>5552301</v>
      </c>
      <c r="W61" s="93"/>
      <c r="AB61" s="177" t="s">
        <v>148</v>
      </c>
      <c r="AC61" s="6" t="s">
        <v>3273</v>
      </c>
      <c r="AE61" s="177" t="s">
        <v>148</v>
      </c>
      <c r="AF61" s="292" t="s">
        <v>3273</v>
      </c>
      <c r="AH61" s="177" t="s">
        <v>148</v>
      </c>
      <c r="AI61" s="292" t="s">
        <v>3273</v>
      </c>
      <c r="AK61" s="3" t="s">
        <v>3463</v>
      </c>
      <c r="AM61" s="3" t="s">
        <v>3018</v>
      </c>
      <c r="AO61" s="106"/>
    </row>
    <row r="62" spans="3:41" x14ac:dyDescent="0.25">
      <c r="C62" s="106"/>
      <c r="D62" s="106"/>
      <c r="F62" s="35" t="s">
        <v>1615</v>
      </c>
      <c r="G62" s="46" t="s">
        <v>1799</v>
      </c>
      <c r="H62" s="33" t="s">
        <v>1770</v>
      </c>
      <c r="L62" s="3" t="s">
        <v>95</v>
      </c>
      <c r="M62" s="3">
        <v>3452202</v>
      </c>
      <c r="N62" s="3" t="s">
        <v>114</v>
      </c>
      <c r="O62" s="94">
        <v>5552302</v>
      </c>
      <c r="Q62" s="3" t="s">
        <v>95</v>
      </c>
      <c r="R62" s="3" t="s">
        <v>114</v>
      </c>
      <c r="S62" s="3" t="s">
        <v>95</v>
      </c>
      <c r="T62" s="94">
        <v>3452202</v>
      </c>
      <c r="U62" s="3" t="s">
        <v>114</v>
      </c>
      <c r="V62" s="94">
        <v>5552302</v>
      </c>
      <c r="W62" s="93"/>
      <c r="AB62" s="177" t="s">
        <v>153</v>
      </c>
      <c r="AC62" s="6" t="s">
        <v>3274</v>
      </c>
      <c r="AE62" s="177" t="s">
        <v>153</v>
      </c>
      <c r="AF62" s="292" t="s">
        <v>3274</v>
      </c>
      <c r="AH62" s="177" t="s">
        <v>153</v>
      </c>
      <c r="AI62" s="292" t="s">
        <v>3274</v>
      </c>
      <c r="AK62" s="3" t="s">
        <v>3774</v>
      </c>
      <c r="AM62" s="3" t="s">
        <v>3573</v>
      </c>
      <c r="AO62" s="106"/>
    </row>
    <row r="63" spans="3:41" x14ac:dyDescent="0.25">
      <c r="C63" s="106"/>
      <c r="D63" s="106"/>
      <c r="H63" s="48" t="s">
        <v>1789</v>
      </c>
      <c r="L63" s="3" t="s">
        <v>96</v>
      </c>
      <c r="M63" s="3">
        <v>3452203</v>
      </c>
      <c r="N63" s="3" t="s">
        <v>98</v>
      </c>
      <c r="O63" s="94">
        <v>5454101</v>
      </c>
      <c r="Q63" s="3" t="s">
        <v>96</v>
      </c>
      <c r="R63" s="3" t="s">
        <v>98</v>
      </c>
      <c r="S63" s="3" t="s">
        <v>96</v>
      </c>
      <c r="T63" s="94">
        <v>3452203</v>
      </c>
      <c r="U63" s="3" t="s">
        <v>98</v>
      </c>
      <c r="V63" s="94">
        <v>5454101</v>
      </c>
      <c r="W63" s="93"/>
      <c r="AB63" s="177" t="s">
        <v>1337</v>
      </c>
      <c r="AC63" s="6" t="s">
        <v>3275</v>
      </c>
      <c r="AE63" s="177" t="s">
        <v>1337</v>
      </c>
      <c r="AF63" s="292" t="s">
        <v>3275</v>
      </c>
      <c r="AH63" s="177" t="s">
        <v>1337</v>
      </c>
      <c r="AI63" s="292" t="s">
        <v>3275</v>
      </c>
      <c r="AK63" s="3" t="s">
        <v>3551</v>
      </c>
      <c r="AM63" s="3" t="s">
        <v>3574</v>
      </c>
      <c r="AO63" s="106"/>
    </row>
    <row r="64" spans="3:41" x14ac:dyDescent="0.25">
      <c r="C64" s="106"/>
      <c r="D64" s="106"/>
      <c r="F64" s="35" t="s">
        <v>1772</v>
      </c>
      <c r="G64" s="46" t="s">
        <v>1789</v>
      </c>
      <c r="H64" s="39" t="s">
        <v>1785</v>
      </c>
      <c r="L64" s="3" t="s">
        <v>97</v>
      </c>
      <c r="M64" s="3">
        <v>5452302</v>
      </c>
      <c r="N64" s="3" t="s">
        <v>99</v>
      </c>
      <c r="O64" s="94">
        <v>5452101</v>
      </c>
      <c r="Q64" s="3" t="s">
        <v>97</v>
      </c>
      <c r="R64" s="3" t="s">
        <v>99</v>
      </c>
      <c r="S64" s="3" t="s">
        <v>97</v>
      </c>
      <c r="T64" s="94">
        <v>5452302</v>
      </c>
      <c r="U64" s="3" t="s">
        <v>99</v>
      </c>
      <c r="V64" s="94">
        <v>5452101</v>
      </c>
      <c r="W64" s="93"/>
      <c r="AB64" s="177" t="s">
        <v>1984</v>
      </c>
      <c r="AC64" s="6" t="s">
        <v>3276</v>
      </c>
      <c r="AE64" s="177" t="s">
        <v>1984</v>
      </c>
      <c r="AF64" s="292" t="s">
        <v>3276</v>
      </c>
      <c r="AH64" s="177" t="s">
        <v>1984</v>
      </c>
      <c r="AI64" s="292" t="s">
        <v>3276</v>
      </c>
      <c r="AK64" s="3" t="s">
        <v>3465</v>
      </c>
      <c r="AM64" s="3" t="s">
        <v>3575</v>
      </c>
      <c r="AO64" s="106"/>
    </row>
    <row r="65" spans="3:41" x14ac:dyDescent="0.25">
      <c r="C65" s="106"/>
      <c r="D65" s="106"/>
      <c r="H65" s="35" t="s">
        <v>1790</v>
      </c>
      <c r="L65" s="3" t="s">
        <v>112</v>
      </c>
      <c r="M65" s="3">
        <v>5552301</v>
      </c>
      <c r="N65" s="3" t="s">
        <v>100</v>
      </c>
      <c r="O65" s="94">
        <v>5454102</v>
      </c>
      <c r="Q65" s="3" t="s">
        <v>112</v>
      </c>
      <c r="R65" s="3" t="s">
        <v>100</v>
      </c>
      <c r="S65" s="3" t="s">
        <v>112</v>
      </c>
      <c r="T65" s="94">
        <v>5552301</v>
      </c>
      <c r="U65" s="3" t="s">
        <v>100</v>
      </c>
      <c r="V65" s="94">
        <v>5454102</v>
      </c>
      <c r="W65" s="93"/>
      <c r="AB65" s="177" t="s">
        <v>160</v>
      </c>
      <c r="AC65" s="6" t="s">
        <v>3277</v>
      </c>
      <c r="AE65" s="177" t="s">
        <v>160</v>
      </c>
      <c r="AF65" s="292" t="s">
        <v>3277</v>
      </c>
      <c r="AH65" s="177" t="s">
        <v>160</v>
      </c>
      <c r="AI65" s="292" t="s">
        <v>3277</v>
      </c>
      <c r="AK65" s="3" t="s">
        <v>2860</v>
      </c>
      <c r="AM65" s="3" t="s">
        <v>3002</v>
      </c>
      <c r="AO65" s="106"/>
    </row>
    <row r="66" spans="3:41" x14ac:dyDescent="0.25">
      <c r="C66" s="106"/>
      <c r="D66" s="106"/>
      <c r="F66" s="35" t="s">
        <v>1772</v>
      </c>
      <c r="G66" s="46" t="s">
        <v>1790</v>
      </c>
      <c r="H66" s="35" t="s">
        <v>1773</v>
      </c>
      <c r="L66" s="3" t="s">
        <v>114</v>
      </c>
      <c r="M66" s="3">
        <v>5552302</v>
      </c>
      <c r="N66" s="3" t="s">
        <v>645</v>
      </c>
      <c r="O66" s="94">
        <v>3452111</v>
      </c>
      <c r="Q66" s="3" t="s">
        <v>114</v>
      </c>
      <c r="R66" s="3" t="s">
        <v>119</v>
      </c>
      <c r="S66" s="3" t="s">
        <v>114</v>
      </c>
      <c r="T66" s="94">
        <v>5552302</v>
      </c>
      <c r="U66" s="3" t="s">
        <v>119</v>
      </c>
      <c r="V66" s="94">
        <v>3452111</v>
      </c>
      <c r="W66" s="93"/>
      <c r="AB66" s="177" t="s">
        <v>1341</v>
      </c>
      <c r="AC66" s="6" t="s">
        <v>3278</v>
      </c>
      <c r="AE66" s="177" t="s">
        <v>1341</v>
      </c>
      <c r="AF66" s="292" t="s">
        <v>3278</v>
      </c>
      <c r="AH66" s="177" t="s">
        <v>1341</v>
      </c>
      <c r="AI66" s="292" t="s">
        <v>3278</v>
      </c>
      <c r="AK66" s="3" t="s">
        <v>3468</v>
      </c>
      <c r="AM66" s="3" t="s">
        <v>3003</v>
      </c>
      <c r="AO66" s="106"/>
    </row>
    <row r="67" spans="3:41" x14ac:dyDescent="0.25">
      <c r="C67" s="106"/>
      <c r="D67" s="106"/>
      <c r="H67" s="35" t="s">
        <v>1787</v>
      </c>
      <c r="L67" s="3" t="s">
        <v>98</v>
      </c>
      <c r="M67" s="3">
        <v>5454101</v>
      </c>
      <c r="N67" s="3" t="s">
        <v>101</v>
      </c>
      <c r="O67" s="94">
        <v>3458203</v>
      </c>
      <c r="Q67" s="3" t="s">
        <v>98</v>
      </c>
      <c r="R67" s="3" t="s">
        <v>101</v>
      </c>
      <c r="S67" s="3" t="s">
        <v>98</v>
      </c>
      <c r="T67" s="94">
        <v>5454101</v>
      </c>
      <c r="U67" s="3" t="s">
        <v>101</v>
      </c>
      <c r="V67" s="94">
        <v>3458203</v>
      </c>
      <c r="W67" s="93"/>
      <c r="AB67" s="177" t="s">
        <v>163</v>
      </c>
      <c r="AC67" s="6" t="s">
        <v>3279</v>
      </c>
      <c r="AE67" s="177" t="s">
        <v>163</v>
      </c>
      <c r="AF67" s="292" t="s">
        <v>3279</v>
      </c>
      <c r="AH67" s="177" t="s">
        <v>163</v>
      </c>
      <c r="AI67" s="292" t="s">
        <v>3279</v>
      </c>
      <c r="AK67" s="3" t="s">
        <v>3775</v>
      </c>
      <c r="AM67" s="3" t="s">
        <v>3576</v>
      </c>
      <c r="AO67" s="106"/>
    </row>
    <row r="68" spans="3:41" x14ac:dyDescent="0.25">
      <c r="C68" s="106"/>
      <c r="D68" s="106"/>
      <c r="F68" s="35" t="s">
        <v>1779</v>
      </c>
      <c r="G68" s="46" t="s">
        <v>1787</v>
      </c>
      <c r="H68" s="39" t="s">
        <v>1786</v>
      </c>
      <c r="L68" s="3" t="s">
        <v>99</v>
      </c>
      <c r="M68" s="3">
        <v>5452101</v>
      </c>
      <c r="N68" s="3" t="s">
        <v>103</v>
      </c>
      <c r="O68" s="94">
        <v>5458201</v>
      </c>
      <c r="Q68" s="3" t="s">
        <v>99</v>
      </c>
      <c r="R68" s="3" t="s">
        <v>103</v>
      </c>
      <c r="S68" s="3" t="s">
        <v>99</v>
      </c>
      <c r="T68" s="94">
        <v>5452101</v>
      </c>
      <c r="U68" s="3" t="s">
        <v>103</v>
      </c>
      <c r="V68" s="94">
        <v>5458201</v>
      </c>
      <c r="W68" s="93"/>
      <c r="AB68" s="177" t="s">
        <v>1343</v>
      </c>
      <c r="AC68" s="6" t="s">
        <v>3280</v>
      </c>
      <c r="AE68" s="177" t="s">
        <v>1343</v>
      </c>
      <c r="AF68" s="292" t="s">
        <v>3280</v>
      </c>
      <c r="AH68" s="177" t="s">
        <v>1343</v>
      </c>
      <c r="AI68" s="292" t="s">
        <v>3280</v>
      </c>
      <c r="AK68" s="3" t="s">
        <v>3776</v>
      </c>
      <c r="AM68" s="3" t="s">
        <v>3004</v>
      </c>
      <c r="AO68" s="106"/>
    </row>
    <row r="69" spans="3:41" x14ac:dyDescent="0.25">
      <c r="C69" s="106"/>
      <c r="D69" s="106"/>
      <c r="H69" s="35" t="s">
        <v>1788</v>
      </c>
      <c r="L69" s="3" t="s">
        <v>100</v>
      </c>
      <c r="M69" s="3">
        <v>5454102</v>
      </c>
      <c r="N69" s="3" t="s">
        <v>106</v>
      </c>
      <c r="O69" s="94">
        <v>5452102</v>
      </c>
      <c r="Q69" s="3" t="s">
        <v>100</v>
      </c>
      <c r="R69" s="3" t="s">
        <v>716</v>
      </c>
      <c r="S69" s="3" t="s">
        <v>100</v>
      </c>
      <c r="T69" s="94">
        <v>5454102</v>
      </c>
      <c r="U69" s="3" t="s">
        <v>716</v>
      </c>
      <c r="V69" s="94">
        <v>3458216</v>
      </c>
      <c r="W69" s="93"/>
      <c r="AB69" s="177" t="s">
        <v>164</v>
      </c>
      <c r="AC69" s="6" t="s">
        <v>3281</v>
      </c>
      <c r="AE69" s="177" t="s">
        <v>164</v>
      </c>
      <c r="AF69" s="292" t="s">
        <v>3281</v>
      </c>
      <c r="AH69" s="177" t="s">
        <v>3208</v>
      </c>
      <c r="AI69" s="292" t="s">
        <v>3390</v>
      </c>
      <c r="AK69" s="3" t="s">
        <v>133</v>
      </c>
      <c r="AM69" s="3" t="s">
        <v>3726</v>
      </c>
      <c r="AO69" s="106"/>
    </row>
    <row r="70" spans="3:41" x14ac:dyDescent="0.25">
      <c r="C70" s="106"/>
      <c r="D70" s="106"/>
      <c r="F70" s="35" t="s">
        <v>1779</v>
      </c>
      <c r="G70" s="46" t="s">
        <v>1788</v>
      </c>
      <c r="H70" s="35" t="s">
        <v>1776</v>
      </c>
      <c r="L70" s="3" t="s">
        <v>1875</v>
      </c>
      <c r="M70" s="3">
        <v>3452111</v>
      </c>
      <c r="N70" s="3" t="s">
        <v>107</v>
      </c>
      <c r="O70" s="94">
        <v>3462301</v>
      </c>
      <c r="Q70" s="3" t="s">
        <v>119</v>
      </c>
      <c r="R70" s="3" t="s">
        <v>106</v>
      </c>
      <c r="S70" s="3" t="s">
        <v>119</v>
      </c>
      <c r="T70" s="94">
        <v>3452111</v>
      </c>
      <c r="U70" s="3" t="s">
        <v>106</v>
      </c>
      <c r="V70" s="94">
        <v>5452102</v>
      </c>
      <c r="W70" s="93"/>
      <c r="AB70" s="177" t="s">
        <v>1344</v>
      </c>
      <c r="AC70" s="6" t="s">
        <v>3282</v>
      </c>
      <c r="AE70" s="177" t="s">
        <v>1344</v>
      </c>
      <c r="AF70" s="292" t="s">
        <v>3282</v>
      </c>
      <c r="AH70" s="177" t="s">
        <v>164</v>
      </c>
      <c r="AI70" s="292" t="s">
        <v>3281</v>
      </c>
      <c r="AK70" s="3" t="s">
        <v>3530</v>
      </c>
      <c r="AM70" s="3" t="s">
        <v>2926</v>
      </c>
      <c r="AO70" s="106"/>
    </row>
    <row r="71" spans="3:41" x14ac:dyDescent="0.25">
      <c r="C71" s="106"/>
      <c r="D71" s="106"/>
      <c r="H71" s="34" t="s">
        <v>3</v>
      </c>
      <c r="L71" s="3" t="s">
        <v>101</v>
      </c>
      <c r="M71" s="3">
        <v>3458203</v>
      </c>
      <c r="N71" s="3" t="s">
        <v>125</v>
      </c>
      <c r="O71" s="94">
        <v>5462302</v>
      </c>
      <c r="Q71" s="3" t="s">
        <v>101</v>
      </c>
      <c r="R71" s="3" t="s">
        <v>107</v>
      </c>
      <c r="S71" s="3" t="s">
        <v>101</v>
      </c>
      <c r="T71" s="94">
        <v>3458203</v>
      </c>
      <c r="U71" s="3" t="s">
        <v>107</v>
      </c>
      <c r="V71" s="94">
        <v>3462301</v>
      </c>
      <c r="W71" s="93"/>
      <c r="AB71" s="177" t="s">
        <v>1345</v>
      </c>
      <c r="AC71" s="6" t="s">
        <v>3283</v>
      </c>
      <c r="AE71" s="177" t="s">
        <v>1345</v>
      </c>
      <c r="AF71" s="292" t="s">
        <v>3283</v>
      </c>
      <c r="AH71" s="177" t="s">
        <v>1344</v>
      </c>
      <c r="AI71" s="292" t="s">
        <v>3282</v>
      </c>
      <c r="AK71" s="3" t="s">
        <v>3525</v>
      </c>
      <c r="AM71" s="3" t="s">
        <v>3463</v>
      </c>
      <c r="AO71" s="106"/>
    </row>
    <row r="72" spans="3:41" x14ac:dyDescent="0.25">
      <c r="F72" s="35" t="s">
        <v>1614</v>
      </c>
      <c r="G72" s="46" t="s">
        <v>3</v>
      </c>
      <c r="H72" s="47" t="s">
        <v>876</v>
      </c>
      <c r="L72" s="3" t="s">
        <v>103</v>
      </c>
      <c r="M72" s="3">
        <v>5458201</v>
      </c>
      <c r="N72" s="3" t="s">
        <v>127</v>
      </c>
      <c r="O72" s="94">
        <v>5472603</v>
      </c>
      <c r="Q72" s="3" t="s">
        <v>103</v>
      </c>
      <c r="R72" s="3" t="s">
        <v>125</v>
      </c>
      <c r="S72" s="3" t="s">
        <v>103</v>
      </c>
      <c r="T72" s="94">
        <v>5458201</v>
      </c>
      <c r="U72" s="3" t="s">
        <v>125</v>
      </c>
      <c r="V72" s="94">
        <v>5462302</v>
      </c>
      <c r="W72" s="93"/>
      <c r="AB72" s="177" t="s">
        <v>1980</v>
      </c>
      <c r="AC72" s="6" t="s">
        <v>3284</v>
      </c>
      <c r="AE72" s="177" t="s">
        <v>1980</v>
      </c>
      <c r="AF72" s="292" t="s">
        <v>3284</v>
      </c>
      <c r="AH72" s="177" t="s">
        <v>1345</v>
      </c>
      <c r="AI72" s="292" t="s">
        <v>3283</v>
      </c>
      <c r="AK72" s="3" t="s">
        <v>3082</v>
      </c>
      <c r="AM72" s="3" t="s">
        <v>3087</v>
      </c>
      <c r="AO72" s="106"/>
    </row>
    <row r="73" spans="3:41" x14ac:dyDescent="0.25">
      <c r="F73" s="35" t="s">
        <v>1614</v>
      </c>
      <c r="G73" s="46" t="s">
        <v>3</v>
      </c>
      <c r="H73" s="47" t="s">
        <v>877</v>
      </c>
      <c r="L73" s="3" t="s">
        <v>106</v>
      </c>
      <c r="M73" s="3">
        <v>5452102</v>
      </c>
      <c r="N73" s="3" t="s">
        <v>108</v>
      </c>
      <c r="O73" s="94">
        <v>5554103</v>
      </c>
      <c r="Q73" s="3" t="s">
        <v>716</v>
      </c>
      <c r="R73" s="3" t="s">
        <v>127</v>
      </c>
      <c r="S73" s="3" t="s">
        <v>716</v>
      </c>
      <c r="T73" s="94">
        <v>3458216</v>
      </c>
      <c r="U73" s="3" t="s">
        <v>127</v>
      </c>
      <c r="V73" s="94">
        <v>5472603</v>
      </c>
      <c r="W73" s="93"/>
      <c r="AB73" s="177" t="s">
        <v>1348</v>
      </c>
      <c r="AC73" s="6" t="s">
        <v>3285</v>
      </c>
      <c r="AE73" s="177" t="s">
        <v>1348</v>
      </c>
      <c r="AF73" s="292" t="s">
        <v>3285</v>
      </c>
      <c r="AH73" s="177" t="s">
        <v>1346</v>
      </c>
      <c r="AI73" s="292" t="s">
        <v>3284</v>
      </c>
      <c r="AK73" s="3" t="s">
        <v>3186</v>
      </c>
      <c r="AM73" s="3" t="s">
        <v>3110</v>
      </c>
      <c r="AO73" s="106"/>
    </row>
    <row r="74" spans="3:41" x14ac:dyDescent="0.25">
      <c r="F74" s="35" t="s">
        <v>1614</v>
      </c>
      <c r="G74" s="46" t="s">
        <v>3</v>
      </c>
      <c r="H74" s="47" t="s">
        <v>878</v>
      </c>
      <c r="L74" s="3" t="s">
        <v>107</v>
      </c>
      <c r="M74" s="3">
        <v>3462301</v>
      </c>
      <c r="N74" s="3" t="s">
        <v>130</v>
      </c>
      <c r="O74" s="94">
        <v>3454107</v>
      </c>
      <c r="Q74" s="3" t="s">
        <v>106</v>
      </c>
      <c r="R74" s="3" t="s">
        <v>108</v>
      </c>
      <c r="S74" s="3" t="s">
        <v>106</v>
      </c>
      <c r="T74" s="94">
        <v>5452102</v>
      </c>
      <c r="U74" s="3" t="s">
        <v>108</v>
      </c>
      <c r="V74" s="94">
        <v>5554103</v>
      </c>
      <c r="W74" s="93"/>
      <c r="AB74" s="177" t="s">
        <v>1349</v>
      </c>
      <c r="AC74" s="6" t="s">
        <v>3286</v>
      </c>
      <c r="AE74" s="177" t="s">
        <v>1349</v>
      </c>
      <c r="AF74" s="292" t="s">
        <v>3286</v>
      </c>
      <c r="AH74" s="177" t="s">
        <v>1348</v>
      </c>
      <c r="AI74" s="292" t="s">
        <v>3285</v>
      </c>
      <c r="AK74" s="3" t="s">
        <v>3560</v>
      </c>
      <c r="AM74" s="3" t="s">
        <v>3551</v>
      </c>
      <c r="AO74" s="106"/>
    </row>
    <row r="75" spans="3:41" x14ac:dyDescent="0.25">
      <c r="F75" s="35" t="s">
        <v>1614</v>
      </c>
      <c r="G75" s="46" t="s">
        <v>3</v>
      </c>
      <c r="H75" s="47" t="s">
        <v>879</v>
      </c>
      <c r="L75" s="3" t="s">
        <v>125</v>
      </c>
      <c r="M75" s="3">
        <v>5462302</v>
      </c>
      <c r="N75" s="3" t="s">
        <v>109</v>
      </c>
      <c r="O75" s="94">
        <v>5452201</v>
      </c>
      <c r="Q75" s="3" t="s">
        <v>107</v>
      </c>
      <c r="R75" s="3" t="s">
        <v>130</v>
      </c>
      <c r="S75" s="3" t="s">
        <v>107</v>
      </c>
      <c r="T75" s="94">
        <v>3462301</v>
      </c>
      <c r="U75" s="3" t="s">
        <v>130</v>
      </c>
      <c r="V75" s="94">
        <v>3454107</v>
      </c>
      <c r="W75" s="93"/>
      <c r="AB75" s="177" t="s">
        <v>1350</v>
      </c>
      <c r="AC75" s="6" t="s">
        <v>3287</v>
      </c>
      <c r="AE75" s="177" t="s">
        <v>1350</v>
      </c>
      <c r="AF75" s="292" t="s">
        <v>3287</v>
      </c>
      <c r="AH75" s="177" t="s">
        <v>1349</v>
      </c>
      <c r="AI75" s="292" t="s">
        <v>3286</v>
      </c>
      <c r="AK75" s="3" t="s">
        <v>3562</v>
      </c>
      <c r="AM75" s="3" t="s">
        <v>3465</v>
      </c>
      <c r="AO75" s="106"/>
    </row>
    <row r="76" spans="3:41" x14ac:dyDescent="0.25">
      <c r="F76" s="35" t="s">
        <v>1614</v>
      </c>
      <c r="G76" s="46" t="s">
        <v>3</v>
      </c>
      <c r="H76" s="47" t="s">
        <v>881</v>
      </c>
      <c r="L76" s="3" t="s">
        <v>127</v>
      </c>
      <c r="M76" s="3">
        <v>5472603</v>
      </c>
      <c r="N76" s="3" t="s">
        <v>133</v>
      </c>
      <c r="O76" s="94">
        <v>5521107</v>
      </c>
      <c r="Q76" s="3" t="s">
        <v>125</v>
      </c>
      <c r="R76" s="3" t="s">
        <v>109</v>
      </c>
      <c r="S76" s="3" t="s">
        <v>125</v>
      </c>
      <c r="T76" s="94">
        <v>5462302</v>
      </c>
      <c r="U76" s="3" t="s">
        <v>109</v>
      </c>
      <c r="V76" s="94">
        <v>5452201</v>
      </c>
      <c r="W76" s="93"/>
      <c r="AB76" s="177" t="s">
        <v>1352</v>
      </c>
      <c r="AC76" s="6" t="s">
        <v>3288</v>
      </c>
      <c r="AE76" s="177" t="s">
        <v>1352</v>
      </c>
      <c r="AF76" s="292" t="s">
        <v>3288</v>
      </c>
      <c r="AH76" s="177" t="s">
        <v>1350</v>
      </c>
      <c r="AI76" s="292" t="s">
        <v>3287</v>
      </c>
      <c r="AK76" s="3" t="s">
        <v>3514</v>
      </c>
      <c r="AM76" s="3" t="s">
        <v>2860</v>
      </c>
      <c r="AO76" s="106"/>
    </row>
    <row r="77" spans="3:41" x14ac:dyDescent="0.25">
      <c r="F77" s="35" t="s">
        <v>1614</v>
      </c>
      <c r="G77" s="46" t="s">
        <v>3</v>
      </c>
      <c r="H77" s="20" t="s">
        <v>882</v>
      </c>
      <c r="L77" s="3" t="s">
        <v>108</v>
      </c>
      <c r="M77" s="3">
        <v>5554103</v>
      </c>
      <c r="N77" s="3" t="s">
        <v>110</v>
      </c>
      <c r="O77" s="94">
        <v>5454301</v>
      </c>
      <c r="Q77" s="3" t="s">
        <v>127</v>
      </c>
      <c r="R77" s="3" t="s">
        <v>133</v>
      </c>
      <c r="S77" s="3" t="s">
        <v>127</v>
      </c>
      <c r="T77" s="94">
        <v>5472603</v>
      </c>
      <c r="U77" s="3" t="s">
        <v>133</v>
      </c>
      <c r="V77" s="94">
        <v>5521107</v>
      </c>
      <c r="W77" s="93"/>
      <c r="AB77" s="177" t="s">
        <v>1354</v>
      </c>
      <c r="AC77" s="6" t="s">
        <v>3289</v>
      </c>
      <c r="AE77" s="177" t="s">
        <v>1354</v>
      </c>
      <c r="AF77" s="292" t="s">
        <v>3289</v>
      </c>
      <c r="AH77" s="177" t="s">
        <v>1352</v>
      </c>
      <c r="AI77" s="292" t="s">
        <v>3288</v>
      </c>
      <c r="AK77" s="3" t="s">
        <v>3727</v>
      </c>
      <c r="AM77" s="3" t="s">
        <v>3468</v>
      </c>
      <c r="AO77" s="106"/>
    </row>
    <row r="78" spans="3:41" x14ac:dyDescent="0.25">
      <c r="H78" s="34" t="s">
        <v>4</v>
      </c>
      <c r="L78" s="3" t="s">
        <v>130</v>
      </c>
      <c r="M78" s="3">
        <v>3454107</v>
      </c>
      <c r="N78" s="3" t="s">
        <v>111</v>
      </c>
      <c r="O78" s="94">
        <v>5486301</v>
      </c>
      <c r="Q78" s="3" t="s">
        <v>108</v>
      </c>
      <c r="R78" s="3" t="s">
        <v>110</v>
      </c>
      <c r="S78" s="3" t="s">
        <v>108</v>
      </c>
      <c r="T78" s="94">
        <v>5554103</v>
      </c>
      <c r="U78" s="3" t="s">
        <v>110</v>
      </c>
      <c r="V78" s="94">
        <v>5454301</v>
      </c>
      <c r="W78" s="93"/>
      <c r="AB78" s="177" t="s">
        <v>175</v>
      </c>
      <c r="AC78" s="6" t="s">
        <v>3290</v>
      </c>
      <c r="AE78" s="177" t="s">
        <v>175</v>
      </c>
      <c r="AF78" s="292" t="s">
        <v>3290</v>
      </c>
      <c r="AH78" s="177" t="s">
        <v>1354</v>
      </c>
      <c r="AI78" s="292" t="s">
        <v>3289</v>
      </c>
      <c r="AK78" s="3" t="s">
        <v>3043</v>
      </c>
      <c r="AM78" s="3" t="s">
        <v>2581</v>
      </c>
      <c r="AO78" s="106"/>
    </row>
    <row r="79" spans="3:41" x14ac:dyDescent="0.25">
      <c r="F79" s="35" t="s">
        <v>1614</v>
      </c>
      <c r="G79" s="46" t="s">
        <v>4</v>
      </c>
      <c r="H79" s="47" t="s">
        <v>883</v>
      </c>
      <c r="L79" s="3" t="s">
        <v>109</v>
      </c>
      <c r="M79" s="3">
        <v>5452201</v>
      </c>
      <c r="N79" s="3" t="s">
        <v>113</v>
      </c>
      <c r="O79" s="94">
        <v>3454203</v>
      </c>
      <c r="Q79" s="3" t="s">
        <v>130</v>
      </c>
      <c r="R79" s="3" t="s">
        <v>111</v>
      </c>
      <c r="S79" s="3" t="s">
        <v>130</v>
      </c>
      <c r="T79" s="94">
        <v>3454107</v>
      </c>
      <c r="U79" s="3" t="s">
        <v>111</v>
      </c>
      <c r="V79" s="94">
        <v>5486301</v>
      </c>
      <c r="W79" s="93"/>
      <c r="AB79" s="177" t="s">
        <v>1355</v>
      </c>
      <c r="AC79" s="6" t="s">
        <v>3291</v>
      </c>
      <c r="AE79" s="177" t="s">
        <v>1355</v>
      </c>
      <c r="AF79" s="292" t="s">
        <v>3291</v>
      </c>
      <c r="AH79" s="177" t="s">
        <v>175</v>
      </c>
      <c r="AI79" s="292" t="s">
        <v>3290</v>
      </c>
      <c r="AK79" s="3" t="s">
        <v>2775</v>
      </c>
      <c r="AM79" s="3" t="s">
        <v>2650</v>
      </c>
      <c r="AO79" s="106"/>
    </row>
    <row r="80" spans="3:41" x14ac:dyDescent="0.25">
      <c r="F80" s="35" t="s">
        <v>1614</v>
      </c>
      <c r="G80" s="46" t="s">
        <v>4</v>
      </c>
      <c r="H80" s="47" t="s">
        <v>884</v>
      </c>
      <c r="L80" s="3" t="s">
        <v>133</v>
      </c>
      <c r="M80" s="3">
        <v>5521107</v>
      </c>
      <c r="N80" s="3" t="s">
        <v>115</v>
      </c>
      <c r="O80" s="94">
        <v>3454204</v>
      </c>
      <c r="Q80" s="3" t="s">
        <v>109</v>
      </c>
      <c r="R80" s="3" t="s">
        <v>113</v>
      </c>
      <c r="S80" s="3" t="s">
        <v>109</v>
      </c>
      <c r="T80" s="94">
        <v>5452201</v>
      </c>
      <c r="U80" s="3" t="s">
        <v>113</v>
      </c>
      <c r="V80" s="94">
        <v>3454203</v>
      </c>
      <c r="W80" s="93"/>
      <c r="AB80" s="177" t="s">
        <v>1356</v>
      </c>
      <c r="AC80" s="6" t="s">
        <v>3292</v>
      </c>
      <c r="AE80" s="177" t="s">
        <v>1356</v>
      </c>
      <c r="AF80" s="292" t="s">
        <v>3292</v>
      </c>
      <c r="AH80" s="177" t="s">
        <v>1355</v>
      </c>
      <c r="AI80" s="292" t="s">
        <v>3291</v>
      </c>
      <c r="AK80" s="3" t="s">
        <v>3577</v>
      </c>
      <c r="AM80" s="3" t="s">
        <v>133</v>
      </c>
      <c r="AO80" s="106"/>
    </row>
    <row r="81" spans="6:41" x14ac:dyDescent="0.25">
      <c r="F81" s="35" t="s">
        <v>1614</v>
      </c>
      <c r="G81" s="46" t="s">
        <v>4</v>
      </c>
      <c r="H81" s="47" t="s">
        <v>885</v>
      </c>
      <c r="L81" s="3" t="s">
        <v>110</v>
      </c>
      <c r="M81" s="3">
        <v>5454301</v>
      </c>
      <c r="N81" s="3" t="s">
        <v>116</v>
      </c>
      <c r="O81" s="94">
        <v>5421103</v>
      </c>
      <c r="Q81" s="3" t="s">
        <v>133</v>
      </c>
      <c r="R81" s="3" t="s">
        <v>115</v>
      </c>
      <c r="S81" s="3" t="s">
        <v>133</v>
      </c>
      <c r="T81" s="94">
        <v>5521107</v>
      </c>
      <c r="U81" s="3" t="s">
        <v>115</v>
      </c>
      <c r="V81" s="94">
        <v>3454204</v>
      </c>
      <c r="W81" s="93"/>
      <c r="AB81" s="177" t="s">
        <v>180</v>
      </c>
      <c r="AC81" s="6" t="s">
        <v>3293</v>
      </c>
      <c r="AE81" s="177" t="s">
        <v>180</v>
      </c>
      <c r="AF81" s="292" t="s">
        <v>3293</v>
      </c>
      <c r="AH81" s="177" t="s">
        <v>1356</v>
      </c>
      <c r="AI81" s="292" t="s">
        <v>3292</v>
      </c>
      <c r="AK81" s="3" t="s">
        <v>129</v>
      </c>
      <c r="AM81" s="3" t="s">
        <v>3530</v>
      </c>
      <c r="AO81" s="106"/>
    </row>
    <row r="82" spans="6:41" x14ac:dyDescent="0.25">
      <c r="F82" s="35" t="s">
        <v>1614</v>
      </c>
      <c r="G82" s="46" t="s">
        <v>4</v>
      </c>
      <c r="H82" s="47" t="s">
        <v>886</v>
      </c>
      <c r="L82" s="3" t="s">
        <v>111</v>
      </c>
      <c r="M82" s="3">
        <v>5486301</v>
      </c>
      <c r="N82" s="3" t="s">
        <v>117</v>
      </c>
      <c r="O82" s="94">
        <v>3458204</v>
      </c>
      <c r="Q82" s="3" t="s">
        <v>110</v>
      </c>
      <c r="R82" s="3" t="s">
        <v>116</v>
      </c>
      <c r="S82" s="3" t="s">
        <v>110</v>
      </c>
      <c r="T82" s="94">
        <v>5454301</v>
      </c>
      <c r="U82" s="3" t="s">
        <v>116</v>
      </c>
      <c r="V82" s="94">
        <v>5421103</v>
      </c>
      <c r="W82" s="93"/>
      <c r="AB82" s="177" t="s">
        <v>207</v>
      </c>
      <c r="AC82" s="6" t="s">
        <v>3294</v>
      </c>
      <c r="AE82" s="177" t="s">
        <v>207</v>
      </c>
      <c r="AF82" s="292" t="s">
        <v>3294</v>
      </c>
      <c r="AH82" s="177" t="s">
        <v>180</v>
      </c>
      <c r="AI82" s="292" t="s">
        <v>3293</v>
      </c>
      <c r="AK82" s="3" t="s">
        <v>2925</v>
      </c>
      <c r="AM82" s="3" t="s">
        <v>3525</v>
      </c>
      <c r="AO82" s="106"/>
    </row>
    <row r="83" spans="6:41" x14ac:dyDescent="0.25">
      <c r="F83" s="35" t="s">
        <v>1614</v>
      </c>
      <c r="G83" s="46" t="s">
        <v>4</v>
      </c>
      <c r="H83" s="47" t="s">
        <v>887</v>
      </c>
      <c r="L83" s="3" t="s">
        <v>113</v>
      </c>
      <c r="M83" s="3">
        <v>3454203</v>
      </c>
      <c r="N83" s="3" t="s">
        <v>646</v>
      </c>
      <c r="O83" s="94">
        <v>3452102</v>
      </c>
      <c r="Q83" s="3" t="s">
        <v>111</v>
      </c>
      <c r="R83" s="3" t="s">
        <v>117</v>
      </c>
      <c r="S83" s="3" t="s">
        <v>111</v>
      </c>
      <c r="T83" s="94">
        <v>5486301</v>
      </c>
      <c r="U83" s="3" t="s">
        <v>117</v>
      </c>
      <c r="V83" s="94">
        <v>3458204</v>
      </c>
      <c r="W83" s="93"/>
      <c r="AB83" s="177" t="s">
        <v>1357</v>
      </c>
      <c r="AC83" s="6" t="s">
        <v>3295</v>
      </c>
      <c r="AE83" s="177" t="s">
        <v>1357</v>
      </c>
      <c r="AF83" s="292" t="s">
        <v>3295</v>
      </c>
      <c r="AH83" s="177" t="s">
        <v>207</v>
      </c>
      <c r="AI83" s="292" t="s">
        <v>3294</v>
      </c>
      <c r="AK83" s="3" t="s">
        <v>2916</v>
      </c>
      <c r="AM83" s="3" t="s">
        <v>3082</v>
      </c>
      <c r="AO83" s="106"/>
    </row>
    <row r="84" spans="6:41" x14ac:dyDescent="0.25">
      <c r="F84" s="35" t="s">
        <v>1614</v>
      </c>
      <c r="G84" s="46" t="s">
        <v>4</v>
      </c>
      <c r="H84" s="47" t="s">
        <v>888</v>
      </c>
      <c r="L84" s="3" t="s">
        <v>115</v>
      </c>
      <c r="M84" s="3">
        <v>3454204</v>
      </c>
      <c r="N84" s="3" t="s">
        <v>120</v>
      </c>
      <c r="O84" s="94">
        <v>5481301</v>
      </c>
      <c r="Q84" s="3" t="s">
        <v>113</v>
      </c>
      <c r="R84" s="3" t="s">
        <v>118</v>
      </c>
      <c r="S84" s="3" t="s">
        <v>113</v>
      </c>
      <c r="T84" s="94">
        <v>3454203</v>
      </c>
      <c r="U84" s="3" t="s">
        <v>118</v>
      </c>
      <c r="V84" s="94">
        <v>3452102</v>
      </c>
      <c r="W84" s="93"/>
      <c r="AB84" s="177" t="s">
        <v>188</v>
      </c>
      <c r="AC84" s="6" t="s">
        <v>3296</v>
      </c>
      <c r="AE84" s="177" t="s">
        <v>188</v>
      </c>
      <c r="AF84" s="292" t="s">
        <v>3296</v>
      </c>
      <c r="AH84" s="177" t="s">
        <v>1357</v>
      </c>
      <c r="AI84" s="292" t="s">
        <v>3295</v>
      </c>
      <c r="AK84" s="3" t="s">
        <v>3515</v>
      </c>
      <c r="AM84" s="3" t="s">
        <v>3701</v>
      </c>
      <c r="AO84" s="106"/>
    </row>
    <row r="85" spans="6:41" x14ac:dyDescent="0.25">
      <c r="F85" s="35" t="s">
        <v>1614</v>
      </c>
      <c r="G85" s="46" t="s">
        <v>4</v>
      </c>
      <c r="H85" s="47" t="s">
        <v>889</v>
      </c>
      <c r="L85" s="3" t="s">
        <v>116</v>
      </c>
      <c r="M85" s="3">
        <v>5421103</v>
      </c>
      <c r="N85" s="3" t="s">
        <v>143</v>
      </c>
      <c r="O85" s="94">
        <v>5472503</v>
      </c>
      <c r="Q85" s="3" t="s">
        <v>115</v>
      </c>
      <c r="R85" s="3" t="s">
        <v>120</v>
      </c>
      <c r="S85" s="3" t="s">
        <v>115</v>
      </c>
      <c r="T85" s="94">
        <v>3454204</v>
      </c>
      <c r="U85" s="3" t="s">
        <v>120</v>
      </c>
      <c r="V85" s="94">
        <v>5481301</v>
      </c>
      <c r="W85" s="93"/>
      <c r="AB85" s="177" t="s">
        <v>190</v>
      </c>
      <c r="AC85" s="6" t="s">
        <v>3297</v>
      </c>
      <c r="AE85" s="177" t="s">
        <v>190</v>
      </c>
      <c r="AF85" s="292" t="s">
        <v>3297</v>
      </c>
      <c r="AH85" s="321" t="s">
        <v>188</v>
      </c>
      <c r="AI85" s="294" t="s">
        <v>3296</v>
      </c>
      <c r="AK85" s="3" t="s">
        <v>3526</v>
      </c>
      <c r="AM85" s="3" t="s">
        <v>3186</v>
      </c>
      <c r="AO85" s="106"/>
    </row>
    <row r="86" spans="6:41" x14ac:dyDescent="0.25">
      <c r="F86" s="35" t="s">
        <v>1614</v>
      </c>
      <c r="G86" s="46" t="s">
        <v>4</v>
      </c>
      <c r="H86" s="47" t="s">
        <v>890</v>
      </c>
      <c r="L86" s="3" t="s">
        <v>117</v>
      </c>
      <c r="M86" s="3">
        <v>3458204</v>
      </c>
      <c r="N86" s="3" t="s">
        <v>121</v>
      </c>
      <c r="O86" s="94">
        <v>5454402</v>
      </c>
      <c r="Q86" s="3" t="s">
        <v>116</v>
      </c>
      <c r="R86" s="3" t="s">
        <v>143</v>
      </c>
      <c r="S86" s="3" t="s">
        <v>116</v>
      </c>
      <c r="T86" s="94">
        <v>5421103</v>
      </c>
      <c r="U86" s="3" t="s">
        <v>143</v>
      </c>
      <c r="V86" s="94">
        <v>5472503</v>
      </c>
      <c r="W86" s="93"/>
      <c r="AB86" s="177" t="s">
        <v>1358</v>
      </c>
      <c r="AC86" s="6" t="s">
        <v>3298</v>
      </c>
      <c r="AE86" s="177" t="s">
        <v>1358</v>
      </c>
      <c r="AF86" s="292" t="s">
        <v>3298</v>
      </c>
      <c r="AH86" s="177" t="s">
        <v>190</v>
      </c>
      <c r="AI86" s="292" t="s">
        <v>3297</v>
      </c>
      <c r="AK86" s="3" t="s">
        <v>3164</v>
      </c>
      <c r="AM86" s="3" t="s">
        <v>1974</v>
      </c>
      <c r="AO86" s="106"/>
    </row>
    <row r="87" spans="6:41" x14ac:dyDescent="0.25">
      <c r="H87" s="34" t="s">
        <v>5</v>
      </c>
      <c r="L87" s="3" t="s">
        <v>118</v>
      </c>
      <c r="M87" s="3">
        <v>3452102</v>
      </c>
      <c r="N87" s="3" t="s">
        <v>122</v>
      </c>
      <c r="O87" s="94">
        <v>5481501</v>
      </c>
      <c r="Q87" s="3" t="s">
        <v>117</v>
      </c>
      <c r="R87" s="3" t="s">
        <v>121</v>
      </c>
      <c r="S87" s="3" t="s">
        <v>117</v>
      </c>
      <c r="T87" s="94">
        <v>3458204</v>
      </c>
      <c r="U87" s="3" t="s">
        <v>121</v>
      </c>
      <c r="V87" s="94">
        <v>5454402</v>
      </c>
      <c r="W87" s="93"/>
      <c r="AB87" s="177" t="s">
        <v>1359</v>
      </c>
      <c r="AC87" s="6" t="s">
        <v>3299</v>
      </c>
      <c r="AE87" s="177" t="s">
        <v>1359</v>
      </c>
      <c r="AF87" s="292" t="s">
        <v>3299</v>
      </c>
      <c r="AH87" s="177" t="s">
        <v>1358</v>
      </c>
      <c r="AI87" s="292" t="s">
        <v>3298</v>
      </c>
      <c r="AK87" s="3" t="s">
        <v>2859</v>
      </c>
      <c r="AM87" s="3" t="s">
        <v>3560</v>
      </c>
      <c r="AO87" s="106"/>
    </row>
    <row r="88" spans="6:41" x14ac:dyDescent="0.25">
      <c r="F88" s="35" t="s">
        <v>1614</v>
      </c>
      <c r="G88" s="46" t="s">
        <v>5</v>
      </c>
      <c r="H88" s="47" t="s">
        <v>891</v>
      </c>
      <c r="L88" s="3" t="s">
        <v>120</v>
      </c>
      <c r="M88" s="3">
        <v>5481301</v>
      </c>
      <c r="N88" s="3" t="s">
        <v>147</v>
      </c>
      <c r="O88" s="94">
        <v>3481106</v>
      </c>
      <c r="Q88" s="3" t="s">
        <v>118</v>
      </c>
      <c r="R88" s="3" t="s">
        <v>122</v>
      </c>
      <c r="S88" s="3" t="s">
        <v>118</v>
      </c>
      <c r="T88" s="94">
        <v>3452102</v>
      </c>
      <c r="U88" s="3" t="s">
        <v>122</v>
      </c>
      <c r="V88" s="94">
        <v>5481501</v>
      </c>
      <c r="W88" s="93"/>
      <c r="AB88" s="177" t="s">
        <v>1361</v>
      </c>
      <c r="AC88" s="6" t="s">
        <v>3300</v>
      </c>
      <c r="AE88" s="177" t="s">
        <v>1361</v>
      </c>
      <c r="AF88" s="292" t="s">
        <v>3300</v>
      </c>
      <c r="AH88" s="177" t="s">
        <v>1359</v>
      </c>
      <c r="AI88" s="292" t="s">
        <v>3299</v>
      </c>
      <c r="AK88" s="3" t="s">
        <v>3474</v>
      </c>
      <c r="AM88" s="3" t="s">
        <v>3562</v>
      </c>
      <c r="AO88" s="106"/>
    </row>
    <row r="89" spans="6:41" x14ac:dyDescent="0.25">
      <c r="F89" s="35" t="s">
        <v>1614</v>
      </c>
      <c r="G89" s="46" t="s">
        <v>5</v>
      </c>
      <c r="H89" s="47" t="s">
        <v>892</v>
      </c>
      <c r="L89" s="3" t="s">
        <v>143</v>
      </c>
      <c r="M89" s="3">
        <v>5472503</v>
      </c>
      <c r="N89" s="3" t="s">
        <v>123</v>
      </c>
      <c r="O89" s="94">
        <v>5472002</v>
      </c>
      <c r="Q89" s="3" t="s">
        <v>120</v>
      </c>
      <c r="R89" s="3" t="s">
        <v>147</v>
      </c>
      <c r="S89" s="3" t="s">
        <v>120</v>
      </c>
      <c r="T89" s="94">
        <v>5481301</v>
      </c>
      <c r="U89" s="3" t="s">
        <v>147</v>
      </c>
      <c r="V89" s="94">
        <v>3481106</v>
      </c>
      <c r="W89" s="93"/>
      <c r="AB89" s="177" t="s">
        <v>1363</v>
      </c>
      <c r="AC89" s="6" t="s">
        <v>3301</v>
      </c>
      <c r="AE89" s="177" t="s">
        <v>1363</v>
      </c>
      <c r="AF89" s="292" t="s">
        <v>3301</v>
      </c>
      <c r="AH89" s="177" t="s">
        <v>1361</v>
      </c>
      <c r="AI89" s="292" t="s">
        <v>3300</v>
      </c>
      <c r="AK89" s="3" t="s">
        <v>3476</v>
      </c>
      <c r="AM89" s="3" t="s">
        <v>3514</v>
      </c>
      <c r="AO89" s="106"/>
    </row>
    <row r="90" spans="6:41" x14ac:dyDescent="0.25">
      <c r="F90" s="35" t="s">
        <v>1614</v>
      </c>
      <c r="G90" s="46" t="s">
        <v>5</v>
      </c>
      <c r="H90" s="47" t="s">
        <v>893</v>
      </c>
      <c r="L90" s="3" t="s">
        <v>121</v>
      </c>
      <c r="M90" s="3">
        <v>5454402</v>
      </c>
      <c r="N90" s="3" t="s">
        <v>124</v>
      </c>
      <c r="O90" s="94">
        <v>5576201</v>
      </c>
      <c r="Q90" s="3" t="s">
        <v>143</v>
      </c>
      <c r="R90" s="3" t="s">
        <v>123</v>
      </c>
      <c r="S90" s="3" t="s">
        <v>143</v>
      </c>
      <c r="T90" s="94">
        <v>5472503</v>
      </c>
      <c r="U90" s="3" t="s">
        <v>123</v>
      </c>
      <c r="V90" s="94">
        <v>5472002</v>
      </c>
      <c r="W90" s="93"/>
      <c r="AB90" s="177" t="s">
        <v>195</v>
      </c>
      <c r="AC90" s="6" t="s">
        <v>3302</v>
      </c>
      <c r="AE90" s="177" t="s">
        <v>195</v>
      </c>
      <c r="AF90" s="292" t="s">
        <v>3302</v>
      </c>
      <c r="AH90" s="177" t="s">
        <v>1363</v>
      </c>
      <c r="AI90" s="292" t="s">
        <v>3301</v>
      </c>
      <c r="AK90" s="3" t="s">
        <v>3478</v>
      </c>
      <c r="AM90" s="3" t="s">
        <v>3727</v>
      </c>
      <c r="AO90" s="106"/>
    </row>
    <row r="91" spans="6:41" x14ac:dyDescent="0.25">
      <c r="F91" s="35" t="s">
        <v>1614</v>
      </c>
      <c r="G91" s="46" t="s">
        <v>5</v>
      </c>
      <c r="H91" s="47" t="s">
        <v>894</v>
      </c>
      <c r="L91" s="3" t="s">
        <v>122</v>
      </c>
      <c r="M91" s="3">
        <v>5481501</v>
      </c>
      <c r="N91" s="3" t="s">
        <v>126</v>
      </c>
      <c r="O91" s="94">
        <v>5572401</v>
      </c>
      <c r="Q91" s="3" t="s">
        <v>121</v>
      </c>
      <c r="R91" s="3" t="s">
        <v>124</v>
      </c>
      <c r="S91" s="3" t="s">
        <v>121</v>
      </c>
      <c r="T91" s="94">
        <v>5454402</v>
      </c>
      <c r="U91" s="3" t="s">
        <v>124</v>
      </c>
      <c r="V91" s="94">
        <v>5576201</v>
      </c>
      <c r="W91" s="93"/>
      <c r="AB91" s="177" t="s">
        <v>1364</v>
      </c>
      <c r="AC91" s="6" t="s">
        <v>3303</v>
      </c>
      <c r="AE91" s="177" t="s">
        <v>1364</v>
      </c>
      <c r="AF91" s="292" t="s">
        <v>3303</v>
      </c>
      <c r="AH91" s="177" t="s">
        <v>195</v>
      </c>
      <c r="AI91" s="292" t="s">
        <v>3302</v>
      </c>
      <c r="AK91" s="3" t="s">
        <v>3545</v>
      </c>
      <c r="AM91" s="3" t="s">
        <v>3043</v>
      </c>
      <c r="AO91" s="106"/>
    </row>
    <row r="92" spans="6:41" x14ac:dyDescent="0.25">
      <c r="F92" s="35" t="s">
        <v>1614</v>
      </c>
      <c r="G92" s="46" t="s">
        <v>5</v>
      </c>
      <c r="H92" s="47" t="s">
        <v>895</v>
      </c>
      <c r="L92" s="3" t="s">
        <v>147</v>
      </c>
      <c r="M92" s="3">
        <v>3481106</v>
      </c>
      <c r="N92" s="3" t="s">
        <v>128</v>
      </c>
      <c r="O92" s="94">
        <v>5472401</v>
      </c>
      <c r="Q92" s="3" t="s">
        <v>122</v>
      </c>
      <c r="R92" s="3" t="s">
        <v>126</v>
      </c>
      <c r="S92" s="3" t="s">
        <v>122</v>
      </c>
      <c r="T92" s="94">
        <v>5481501</v>
      </c>
      <c r="U92" s="3" t="s">
        <v>126</v>
      </c>
      <c r="V92" s="94">
        <v>5572401</v>
      </c>
      <c r="W92" s="93"/>
      <c r="AB92" s="177" t="s">
        <v>1365</v>
      </c>
      <c r="AC92" s="6" t="s">
        <v>3304</v>
      </c>
      <c r="AE92" s="177" t="s">
        <v>1365</v>
      </c>
      <c r="AF92" s="292" t="s">
        <v>3304</v>
      </c>
      <c r="AH92" s="177" t="s">
        <v>1364</v>
      </c>
      <c r="AI92" s="292" t="s">
        <v>3303</v>
      </c>
      <c r="AK92" s="3" t="s">
        <v>2918</v>
      </c>
      <c r="AM92" s="3" t="s">
        <v>2775</v>
      </c>
      <c r="AO92" s="106"/>
    </row>
    <row r="93" spans="6:41" x14ac:dyDescent="0.25">
      <c r="F93" s="35" t="s">
        <v>1614</v>
      </c>
      <c r="G93" s="46" t="s">
        <v>5</v>
      </c>
      <c r="H93" s="47" t="s">
        <v>896</v>
      </c>
      <c r="L93" s="3" t="s">
        <v>123</v>
      </c>
      <c r="M93" s="3">
        <v>5472002</v>
      </c>
      <c r="N93" s="3" t="s">
        <v>129</v>
      </c>
      <c r="O93" s="94">
        <v>3454303</v>
      </c>
      <c r="Q93" s="3" t="s">
        <v>147</v>
      </c>
      <c r="R93" s="3" t="s">
        <v>128</v>
      </c>
      <c r="S93" s="3" t="s">
        <v>147</v>
      </c>
      <c r="T93" s="94">
        <v>3481106</v>
      </c>
      <c r="U93" s="3" t="s">
        <v>128</v>
      </c>
      <c r="V93" s="94">
        <v>5472401</v>
      </c>
      <c r="W93" s="93"/>
      <c r="AB93" s="177" t="s">
        <v>198</v>
      </c>
      <c r="AC93" s="6" t="s">
        <v>3305</v>
      </c>
      <c r="AE93" s="177" t="s">
        <v>198</v>
      </c>
      <c r="AF93" s="292" t="s">
        <v>3305</v>
      </c>
      <c r="AH93" s="177" t="s">
        <v>1365</v>
      </c>
      <c r="AI93" s="292" t="s">
        <v>3304</v>
      </c>
      <c r="AK93" s="3" t="s">
        <v>2903</v>
      </c>
      <c r="AM93" s="3" t="s">
        <v>2885</v>
      </c>
      <c r="AO93" s="106"/>
    </row>
    <row r="94" spans="6:41" x14ac:dyDescent="0.25">
      <c r="F94" s="35" t="s">
        <v>1614</v>
      </c>
      <c r="G94" s="46" t="s">
        <v>5</v>
      </c>
      <c r="H94" s="47" t="s">
        <v>897</v>
      </c>
      <c r="L94" s="3" t="s">
        <v>124</v>
      </c>
      <c r="M94" s="3">
        <v>5576201</v>
      </c>
      <c r="N94" s="3" t="s">
        <v>647</v>
      </c>
      <c r="O94" s="94">
        <v>5481001</v>
      </c>
      <c r="Q94" s="3" t="s">
        <v>123</v>
      </c>
      <c r="R94" s="3" t="s">
        <v>129</v>
      </c>
      <c r="S94" s="3" t="s">
        <v>123</v>
      </c>
      <c r="T94" s="94">
        <v>5472002</v>
      </c>
      <c r="U94" s="3" t="s">
        <v>129</v>
      </c>
      <c r="V94" s="94">
        <v>3454303</v>
      </c>
      <c r="W94" s="93"/>
      <c r="AB94" s="177" t="s">
        <v>1366</v>
      </c>
      <c r="AC94" s="6" t="s">
        <v>3306</v>
      </c>
      <c r="AE94" s="177" t="s">
        <v>1366</v>
      </c>
      <c r="AF94" s="292" t="s">
        <v>3306</v>
      </c>
      <c r="AH94" s="177" t="s">
        <v>198</v>
      </c>
      <c r="AI94" s="292" t="s">
        <v>3305</v>
      </c>
      <c r="AK94" s="3" t="s">
        <v>174</v>
      </c>
      <c r="AM94" s="3" t="s">
        <v>3577</v>
      </c>
      <c r="AO94" s="106"/>
    </row>
    <row r="95" spans="6:41" x14ac:dyDescent="0.25">
      <c r="F95" s="35" t="s">
        <v>1614</v>
      </c>
      <c r="G95" s="46" t="s">
        <v>5</v>
      </c>
      <c r="H95" s="47" t="s">
        <v>898</v>
      </c>
      <c r="L95" s="3" t="s">
        <v>126</v>
      </c>
      <c r="M95" s="3">
        <v>5572401</v>
      </c>
      <c r="N95" s="3" t="s">
        <v>132</v>
      </c>
      <c r="O95" s="94">
        <v>5458101</v>
      </c>
      <c r="Q95" s="3" t="s">
        <v>124</v>
      </c>
      <c r="R95" s="3" t="s">
        <v>131</v>
      </c>
      <c r="S95" s="3" t="s">
        <v>124</v>
      </c>
      <c r="T95" s="94">
        <v>5576201</v>
      </c>
      <c r="U95" s="3" t="s">
        <v>131</v>
      </c>
      <c r="V95" s="94">
        <v>5481001</v>
      </c>
      <c r="W95" s="93"/>
      <c r="AB95" s="177" t="s">
        <v>1367</v>
      </c>
      <c r="AC95" s="6" t="s">
        <v>3307</v>
      </c>
      <c r="AE95" s="177" t="s">
        <v>1367</v>
      </c>
      <c r="AF95" s="292" t="s">
        <v>3307</v>
      </c>
      <c r="AH95" s="177" t="s">
        <v>1366</v>
      </c>
      <c r="AI95" s="292" t="s">
        <v>3306</v>
      </c>
      <c r="AK95" s="3" t="s">
        <v>3172</v>
      </c>
      <c r="AM95" s="3" t="s">
        <v>129</v>
      </c>
      <c r="AO95" s="106"/>
    </row>
    <row r="96" spans="6:41" x14ac:dyDescent="0.25">
      <c r="F96" s="35" t="s">
        <v>1614</v>
      </c>
      <c r="G96" s="46" t="s">
        <v>5</v>
      </c>
      <c r="H96" s="47" t="s">
        <v>899</v>
      </c>
      <c r="L96" s="3" t="s">
        <v>128</v>
      </c>
      <c r="M96" s="3">
        <v>5472401</v>
      </c>
      <c r="N96" s="3" t="s">
        <v>134</v>
      </c>
      <c r="O96" s="94">
        <v>3558201</v>
      </c>
      <c r="Q96" s="3" t="s">
        <v>126</v>
      </c>
      <c r="R96" s="3" t="s">
        <v>132</v>
      </c>
      <c r="S96" s="3" t="s">
        <v>126</v>
      </c>
      <c r="T96" s="94">
        <v>5572401</v>
      </c>
      <c r="U96" s="3" t="s">
        <v>132</v>
      </c>
      <c r="V96" s="94">
        <v>5458101</v>
      </c>
      <c r="W96" s="93"/>
      <c r="AB96" s="177" t="s">
        <v>236</v>
      </c>
      <c r="AC96" s="6" t="s">
        <v>3308</v>
      </c>
      <c r="AE96" s="177" t="s">
        <v>236</v>
      </c>
      <c r="AF96" s="292" t="s">
        <v>3308</v>
      </c>
      <c r="AH96" s="177" t="s">
        <v>1367</v>
      </c>
      <c r="AI96" s="292" t="s">
        <v>3307</v>
      </c>
      <c r="AK96" s="3" t="s">
        <v>3482</v>
      </c>
      <c r="AM96" s="3" t="s">
        <v>2925</v>
      </c>
      <c r="AO96" s="106"/>
    </row>
    <row r="97" spans="6:41" x14ac:dyDescent="0.25">
      <c r="F97" s="35" t="s">
        <v>1614</v>
      </c>
      <c r="G97" s="46" t="s">
        <v>5</v>
      </c>
      <c r="H97" s="47" t="s">
        <v>900</v>
      </c>
      <c r="L97" s="3" t="s">
        <v>129</v>
      </c>
      <c r="M97" s="3">
        <v>3454303</v>
      </c>
      <c r="N97" s="3" t="s">
        <v>135</v>
      </c>
      <c r="O97" s="94">
        <v>3462101</v>
      </c>
      <c r="Q97" s="3" t="s">
        <v>128</v>
      </c>
      <c r="R97" s="3" t="s">
        <v>134</v>
      </c>
      <c r="S97" s="3" t="s">
        <v>128</v>
      </c>
      <c r="T97" s="94">
        <v>5472401</v>
      </c>
      <c r="U97" s="3" t="s">
        <v>134</v>
      </c>
      <c r="V97" s="94">
        <v>3558201</v>
      </c>
      <c r="W97" s="93"/>
      <c r="AB97" s="177" t="s">
        <v>1368</v>
      </c>
      <c r="AC97" s="6" t="s">
        <v>3309</v>
      </c>
      <c r="AE97" s="177" t="s">
        <v>1368</v>
      </c>
      <c r="AF97" s="292" t="s">
        <v>3309</v>
      </c>
      <c r="AH97" s="177" t="s">
        <v>236</v>
      </c>
      <c r="AI97" s="292" t="s">
        <v>3308</v>
      </c>
      <c r="AK97" s="3" t="s">
        <v>2877</v>
      </c>
      <c r="AM97" s="3" t="s">
        <v>2916</v>
      </c>
      <c r="AO97" s="106"/>
    </row>
    <row r="98" spans="6:41" x14ac:dyDescent="0.25">
      <c r="F98" s="35" t="s">
        <v>1614</v>
      </c>
      <c r="G98" s="46" t="s">
        <v>5</v>
      </c>
      <c r="H98" s="47" t="s">
        <v>901</v>
      </c>
      <c r="L98" s="3" t="s">
        <v>131</v>
      </c>
      <c r="M98" s="3">
        <v>5481001</v>
      </c>
      <c r="N98" s="3" t="s">
        <v>136</v>
      </c>
      <c r="O98" s="94">
        <v>5448102</v>
      </c>
      <c r="Q98" s="3" t="s">
        <v>129</v>
      </c>
      <c r="R98" s="3" t="s">
        <v>135</v>
      </c>
      <c r="S98" s="3" t="s">
        <v>129</v>
      </c>
      <c r="T98" s="94">
        <v>3454303</v>
      </c>
      <c r="U98" s="3" t="s">
        <v>135</v>
      </c>
      <c r="V98" s="94">
        <v>3462101</v>
      </c>
      <c r="W98" s="93"/>
      <c r="AB98" s="177" t="s">
        <v>1369</v>
      </c>
      <c r="AC98" s="6" t="s">
        <v>3310</v>
      </c>
      <c r="AE98" s="177" t="s">
        <v>1369</v>
      </c>
      <c r="AF98" s="292" t="s">
        <v>3310</v>
      </c>
      <c r="AH98" s="177" t="s">
        <v>1368</v>
      </c>
      <c r="AI98" s="292" t="s">
        <v>3309</v>
      </c>
      <c r="AK98" s="3" t="s">
        <v>2908</v>
      </c>
      <c r="AM98" s="3" t="s">
        <v>3515</v>
      </c>
      <c r="AO98" s="106"/>
    </row>
    <row r="99" spans="6:41" x14ac:dyDescent="0.25">
      <c r="F99" s="35" t="s">
        <v>1614</v>
      </c>
      <c r="G99" s="46" t="s">
        <v>5</v>
      </c>
      <c r="H99" s="47" t="s">
        <v>902</v>
      </c>
      <c r="L99" s="3" t="s">
        <v>132</v>
      </c>
      <c r="M99" s="3">
        <v>5458101</v>
      </c>
      <c r="N99" s="3" t="s">
        <v>154</v>
      </c>
      <c r="O99" s="94">
        <v>5454403</v>
      </c>
      <c r="Q99" s="3" t="s">
        <v>131</v>
      </c>
      <c r="R99" s="3" t="s">
        <v>136</v>
      </c>
      <c r="S99" s="3" t="s">
        <v>131</v>
      </c>
      <c r="T99" s="94">
        <v>5481001</v>
      </c>
      <c r="U99" s="3" t="s">
        <v>136</v>
      </c>
      <c r="V99" s="94">
        <v>5448102</v>
      </c>
      <c r="W99" s="93"/>
      <c r="AB99" s="177" t="s">
        <v>1370</v>
      </c>
      <c r="AC99" s="6" t="s">
        <v>3311</v>
      </c>
      <c r="AE99" s="177" t="s">
        <v>1370</v>
      </c>
      <c r="AF99" s="292" t="s">
        <v>3311</v>
      </c>
      <c r="AH99" s="177" t="s">
        <v>1369</v>
      </c>
      <c r="AI99" s="292" t="s">
        <v>3310</v>
      </c>
      <c r="AK99" s="3" t="s">
        <v>2857</v>
      </c>
      <c r="AM99" s="3" t="s">
        <v>3526</v>
      </c>
      <c r="AO99" s="106"/>
    </row>
    <row r="100" spans="6:41" x14ac:dyDescent="0.25">
      <c r="H100" s="34" t="s">
        <v>6</v>
      </c>
      <c r="L100" s="3" t="s">
        <v>134</v>
      </c>
      <c r="M100" s="3">
        <v>3558201</v>
      </c>
      <c r="N100" s="3" t="s">
        <v>137</v>
      </c>
      <c r="O100" s="94">
        <v>5452103</v>
      </c>
      <c r="Q100" s="3" t="s">
        <v>132</v>
      </c>
      <c r="R100" s="3" t="s">
        <v>154</v>
      </c>
      <c r="S100" s="3" t="s">
        <v>132</v>
      </c>
      <c r="T100" s="94">
        <v>5458101</v>
      </c>
      <c r="U100" s="3" t="s">
        <v>154</v>
      </c>
      <c r="V100" s="94">
        <v>5454403</v>
      </c>
      <c r="W100" s="93"/>
      <c r="AB100" s="177" t="s">
        <v>717</v>
      </c>
      <c r="AC100" s="6" t="s">
        <v>3312</v>
      </c>
      <c r="AE100" s="177" t="s">
        <v>717</v>
      </c>
      <c r="AF100" s="292" t="s">
        <v>3312</v>
      </c>
      <c r="AH100" s="177" t="s">
        <v>1370</v>
      </c>
      <c r="AI100" s="292" t="s">
        <v>3311</v>
      </c>
      <c r="AK100" s="3" t="s">
        <v>170</v>
      </c>
      <c r="AM100" s="3" t="s">
        <v>3164</v>
      </c>
      <c r="AO100" s="106"/>
    </row>
    <row r="101" spans="6:41" x14ac:dyDescent="0.25">
      <c r="F101" s="35" t="s">
        <v>1614</v>
      </c>
      <c r="G101" s="46" t="s">
        <v>6</v>
      </c>
      <c r="H101" s="47" t="s">
        <v>903</v>
      </c>
      <c r="L101" s="3" t="s">
        <v>135</v>
      </c>
      <c r="M101" s="3">
        <v>3462101</v>
      </c>
      <c r="N101" s="3" t="s">
        <v>138</v>
      </c>
      <c r="O101" s="94">
        <v>3452103</v>
      </c>
      <c r="Q101" s="3" t="s">
        <v>134</v>
      </c>
      <c r="R101" s="3" t="s">
        <v>137</v>
      </c>
      <c r="S101" s="3" t="s">
        <v>134</v>
      </c>
      <c r="T101" s="94">
        <v>3558201</v>
      </c>
      <c r="U101" s="3" t="s">
        <v>137</v>
      </c>
      <c r="V101" s="94">
        <v>5452103</v>
      </c>
      <c r="W101" s="93"/>
      <c r="AB101" s="177" t="s">
        <v>246</v>
      </c>
      <c r="AC101" s="6" t="s">
        <v>3313</v>
      </c>
      <c r="AE101" s="177" t="s">
        <v>246</v>
      </c>
      <c r="AF101" s="292" t="s">
        <v>3313</v>
      </c>
      <c r="AH101" s="177" t="s">
        <v>717</v>
      </c>
      <c r="AI101" s="292" t="s">
        <v>3312</v>
      </c>
      <c r="AK101" s="3" t="s">
        <v>3102</v>
      </c>
      <c r="AM101" s="3" t="s">
        <v>2859</v>
      </c>
      <c r="AO101" s="106"/>
    </row>
    <row r="102" spans="6:41" x14ac:dyDescent="0.25">
      <c r="F102" s="35" t="s">
        <v>1614</v>
      </c>
      <c r="G102" s="46" t="s">
        <v>6</v>
      </c>
      <c r="H102" s="47" t="s">
        <v>905</v>
      </c>
      <c r="L102" s="3" t="s">
        <v>136</v>
      </c>
      <c r="M102" s="3">
        <v>5448102</v>
      </c>
      <c r="N102" s="3" t="s">
        <v>139</v>
      </c>
      <c r="O102" s="94">
        <v>3452502</v>
      </c>
      <c r="Q102" s="3" t="s">
        <v>135</v>
      </c>
      <c r="R102" s="3" t="s">
        <v>138</v>
      </c>
      <c r="S102" s="3" t="s">
        <v>135</v>
      </c>
      <c r="T102" s="94">
        <v>3462101</v>
      </c>
      <c r="U102" s="3" t="s">
        <v>138</v>
      </c>
      <c r="V102" s="94">
        <v>3452103</v>
      </c>
      <c r="W102" s="93"/>
      <c r="AB102" s="177" t="s">
        <v>1371</v>
      </c>
      <c r="AC102" s="6" t="s">
        <v>3314</v>
      </c>
      <c r="AE102" s="177" t="s">
        <v>1371</v>
      </c>
      <c r="AF102" s="292" t="s">
        <v>3314</v>
      </c>
      <c r="AH102" s="177" t="s">
        <v>246</v>
      </c>
      <c r="AI102" s="292" t="s">
        <v>3313</v>
      </c>
      <c r="AK102" s="3" t="s">
        <v>2928</v>
      </c>
      <c r="AM102" s="3" t="s">
        <v>2887</v>
      </c>
      <c r="AO102" s="106"/>
    </row>
    <row r="103" spans="6:41" x14ac:dyDescent="0.25">
      <c r="F103" s="35" t="s">
        <v>1614</v>
      </c>
      <c r="G103" s="46" t="s">
        <v>6</v>
      </c>
      <c r="H103" s="47" t="s">
        <v>906</v>
      </c>
      <c r="L103" s="3" t="s">
        <v>154</v>
      </c>
      <c r="M103" s="3">
        <v>5454403</v>
      </c>
      <c r="N103" s="3" t="s">
        <v>140</v>
      </c>
      <c r="O103" s="94">
        <v>3484101</v>
      </c>
      <c r="Q103" s="3" t="s">
        <v>136</v>
      </c>
      <c r="R103" s="3" t="s">
        <v>139</v>
      </c>
      <c r="S103" s="3" t="s">
        <v>136</v>
      </c>
      <c r="T103" s="94">
        <v>5448102</v>
      </c>
      <c r="U103" s="3" t="s">
        <v>139</v>
      </c>
      <c r="V103" s="94">
        <v>3452502</v>
      </c>
      <c r="W103" s="93"/>
      <c r="AB103" s="177" t="s">
        <v>208</v>
      </c>
      <c r="AC103" s="6" t="s">
        <v>3315</v>
      </c>
      <c r="AE103" s="177" t="s">
        <v>208</v>
      </c>
      <c r="AF103" s="292" t="s">
        <v>3315</v>
      </c>
      <c r="AH103" s="177" t="s">
        <v>1371</v>
      </c>
      <c r="AI103" s="292" t="s">
        <v>3314</v>
      </c>
      <c r="AK103" s="3" t="s">
        <v>3547</v>
      </c>
      <c r="AM103" s="3" t="s">
        <v>3474</v>
      </c>
      <c r="AO103" s="106"/>
    </row>
    <row r="104" spans="6:41" x14ac:dyDescent="0.25">
      <c r="F104" s="35" t="s">
        <v>1614</v>
      </c>
      <c r="G104" s="46" t="s">
        <v>6</v>
      </c>
      <c r="H104" s="47" t="s">
        <v>907</v>
      </c>
      <c r="L104" s="3" t="s">
        <v>137</v>
      </c>
      <c r="M104" s="3">
        <v>5452103</v>
      </c>
      <c r="N104" s="3" t="s">
        <v>141</v>
      </c>
      <c r="O104" s="94">
        <v>3452501</v>
      </c>
      <c r="Q104" s="3" t="s">
        <v>154</v>
      </c>
      <c r="R104" s="3" t="s">
        <v>140</v>
      </c>
      <c r="S104" s="3" t="s">
        <v>154</v>
      </c>
      <c r="T104" s="94">
        <v>5454403</v>
      </c>
      <c r="U104" s="3" t="s">
        <v>140</v>
      </c>
      <c r="V104" s="94">
        <v>3484101</v>
      </c>
      <c r="W104" s="93"/>
      <c r="AB104" s="177" t="s">
        <v>1976</v>
      </c>
      <c r="AC104" s="6" t="s">
        <v>3316</v>
      </c>
      <c r="AE104" s="177" t="s">
        <v>1976</v>
      </c>
      <c r="AF104" s="292" t="s">
        <v>3316</v>
      </c>
      <c r="AH104" s="177" t="s">
        <v>208</v>
      </c>
      <c r="AI104" s="292" t="s">
        <v>3315</v>
      </c>
      <c r="AK104" s="3" t="s">
        <v>3548</v>
      </c>
      <c r="AM104" s="3" t="s">
        <v>3476</v>
      </c>
      <c r="AO104" s="106"/>
    </row>
    <row r="105" spans="6:41" x14ac:dyDescent="0.25">
      <c r="F105" s="35" t="s">
        <v>1614</v>
      </c>
      <c r="G105" s="46" t="s">
        <v>6</v>
      </c>
      <c r="H105" s="47" t="s">
        <v>908</v>
      </c>
      <c r="L105" s="3" t="s">
        <v>138</v>
      </c>
      <c r="M105" s="3">
        <v>3452103</v>
      </c>
      <c r="N105" s="3" t="s">
        <v>159</v>
      </c>
      <c r="O105" s="94">
        <v>5552303</v>
      </c>
      <c r="Q105" s="3" t="s">
        <v>137</v>
      </c>
      <c r="R105" s="3" t="s">
        <v>141</v>
      </c>
      <c r="S105" s="3" t="s">
        <v>137</v>
      </c>
      <c r="T105" s="94">
        <v>5452103</v>
      </c>
      <c r="U105" s="3" t="s">
        <v>141</v>
      </c>
      <c r="V105" s="94">
        <v>3452501</v>
      </c>
      <c r="W105" s="93"/>
      <c r="AB105" s="177" t="s">
        <v>1981</v>
      </c>
      <c r="AC105" s="6" t="s">
        <v>3317</v>
      </c>
      <c r="AE105" s="177" t="s">
        <v>1981</v>
      </c>
      <c r="AF105" s="292" t="s">
        <v>3317</v>
      </c>
      <c r="AH105" s="177" t="s">
        <v>1976</v>
      </c>
      <c r="AI105" s="292" t="s">
        <v>3316</v>
      </c>
      <c r="AK105" s="3" t="s">
        <v>3715</v>
      </c>
      <c r="AM105" s="3" t="s">
        <v>3478</v>
      </c>
      <c r="AO105" s="106"/>
    </row>
    <row r="106" spans="6:41" x14ac:dyDescent="0.25">
      <c r="F106" s="35" t="s">
        <v>1614</v>
      </c>
      <c r="G106" s="46" t="s">
        <v>6</v>
      </c>
      <c r="H106" s="47" t="s">
        <v>909</v>
      </c>
      <c r="L106" s="3" t="s">
        <v>139</v>
      </c>
      <c r="M106" s="3">
        <v>3452502</v>
      </c>
      <c r="N106" s="3" t="s">
        <v>142</v>
      </c>
      <c r="O106" s="94">
        <v>5576202</v>
      </c>
      <c r="Q106" s="3" t="s">
        <v>138</v>
      </c>
      <c r="R106" s="3" t="s">
        <v>159</v>
      </c>
      <c r="S106" s="3" t="s">
        <v>138</v>
      </c>
      <c r="T106" s="94">
        <v>3452103</v>
      </c>
      <c r="U106" s="3" t="s">
        <v>159</v>
      </c>
      <c r="V106" s="94">
        <v>5552303</v>
      </c>
      <c r="W106" s="93"/>
      <c r="AB106" s="177" t="s">
        <v>1978</v>
      </c>
      <c r="AC106" s="6" t="s">
        <v>3318</v>
      </c>
      <c r="AE106" s="177" t="s">
        <v>1978</v>
      </c>
      <c r="AF106" s="292" t="s">
        <v>3318</v>
      </c>
      <c r="AH106" s="177" t="s">
        <v>1981</v>
      </c>
      <c r="AI106" s="292" t="s">
        <v>3317</v>
      </c>
      <c r="AK106" s="3" t="s">
        <v>3113</v>
      </c>
      <c r="AM106" s="3" t="s">
        <v>3545</v>
      </c>
      <c r="AO106" s="106"/>
    </row>
    <row r="107" spans="6:41" x14ac:dyDescent="0.25">
      <c r="F107" s="35" t="s">
        <v>1614</v>
      </c>
      <c r="G107" s="46" t="s">
        <v>6</v>
      </c>
      <c r="H107" s="47" t="s">
        <v>911</v>
      </c>
      <c r="L107" s="3" t="s">
        <v>140</v>
      </c>
      <c r="M107" s="3">
        <v>3484101</v>
      </c>
      <c r="N107" s="3" t="s">
        <v>144</v>
      </c>
      <c r="O107" s="94">
        <v>5421104</v>
      </c>
      <c r="Q107" s="3" t="s">
        <v>139</v>
      </c>
      <c r="R107" s="3" t="s">
        <v>142</v>
      </c>
      <c r="S107" s="3" t="s">
        <v>139</v>
      </c>
      <c r="T107" s="94">
        <v>3452502</v>
      </c>
      <c r="U107" s="3" t="s">
        <v>142</v>
      </c>
      <c r="V107" s="94">
        <v>5576202</v>
      </c>
      <c r="W107" s="93"/>
      <c r="AB107" s="177" t="s">
        <v>1372</v>
      </c>
      <c r="AC107" s="6" t="s">
        <v>3319</v>
      </c>
      <c r="AE107" s="177" t="s">
        <v>1372</v>
      </c>
      <c r="AF107" s="292" t="s">
        <v>3319</v>
      </c>
      <c r="AH107" s="177" t="s">
        <v>1978</v>
      </c>
      <c r="AI107" s="292" t="s">
        <v>3318</v>
      </c>
      <c r="AK107" s="3" t="s">
        <v>3777</v>
      </c>
      <c r="AM107" s="3" t="s">
        <v>3479</v>
      </c>
      <c r="AO107" s="106"/>
    </row>
    <row r="108" spans="6:41" x14ac:dyDescent="0.25">
      <c r="F108" s="35" t="s">
        <v>1614</v>
      </c>
      <c r="G108" s="46" t="s">
        <v>6</v>
      </c>
      <c r="H108" s="47" t="s">
        <v>912</v>
      </c>
      <c r="L108" s="3" t="s">
        <v>141</v>
      </c>
      <c r="M108" s="3">
        <v>3452501</v>
      </c>
      <c r="N108" s="3" t="s">
        <v>145</v>
      </c>
      <c r="O108" s="94">
        <v>5454302</v>
      </c>
      <c r="Q108" s="3" t="s">
        <v>140</v>
      </c>
      <c r="R108" s="3" t="s">
        <v>144</v>
      </c>
      <c r="S108" s="3" t="s">
        <v>140</v>
      </c>
      <c r="T108" s="94">
        <v>3484101</v>
      </c>
      <c r="U108" s="3" t="s">
        <v>144</v>
      </c>
      <c r="V108" s="94">
        <v>5421104</v>
      </c>
      <c r="W108" s="93"/>
      <c r="AB108" s="177" t="s">
        <v>1375</v>
      </c>
      <c r="AC108" s="6" t="s">
        <v>3320</v>
      </c>
      <c r="AE108" s="177" t="s">
        <v>1375</v>
      </c>
      <c r="AF108" s="292" t="s">
        <v>3320</v>
      </c>
      <c r="AH108" s="177" t="s">
        <v>1372</v>
      </c>
      <c r="AI108" s="292" t="s">
        <v>3319</v>
      </c>
      <c r="AK108" s="3" t="s">
        <v>3531</v>
      </c>
      <c r="AM108" s="3" t="s">
        <v>2918</v>
      </c>
      <c r="AO108" s="106"/>
    </row>
    <row r="109" spans="6:41" x14ac:dyDescent="0.25">
      <c r="F109" s="35" t="s">
        <v>1614</v>
      </c>
      <c r="G109" s="46" t="s">
        <v>6</v>
      </c>
      <c r="H109" s="47" t="s">
        <v>913</v>
      </c>
      <c r="L109" s="3" t="s">
        <v>159</v>
      </c>
      <c r="M109" s="3">
        <v>5552303</v>
      </c>
      <c r="N109" s="3" t="s">
        <v>146</v>
      </c>
      <c r="O109" s="94">
        <v>5421203</v>
      </c>
      <c r="Q109" s="3" t="s">
        <v>141</v>
      </c>
      <c r="R109" s="3" t="s">
        <v>145</v>
      </c>
      <c r="S109" s="3" t="s">
        <v>141</v>
      </c>
      <c r="T109" s="94">
        <v>3452501</v>
      </c>
      <c r="U109" s="3" t="s">
        <v>145</v>
      </c>
      <c r="V109" s="94">
        <v>5454302</v>
      </c>
      <c r="W109" s="93"/>
      <c r="AB109" s="177" t="s">
        <v>1376</v>
      </c>
      <c r="AC109" s="6" t="s">
        <v>3321</v>
      </c>
      <c r="AE109" s="177" t="s">
        <v>1376</v>
      </c>
      <c r="AF109" s="292" t="s">
        <v>3321</v>
      </c>
      <c r="AH109" s="177" t="s">
        <v>1375</v>
      </c>
      <c r="AI109" s="292" t="s">
        <v>3320</v>
      </c>
      <c r="AK109" s="3" t="s">
        <v>3485</v>
      </c>
      <c r="AM109" s="3" t="s">
        <v>3516</v>
      </c>
      <c r="AO109" s="106"/>
    </row>
    <row r="110" spans="6:41" x14ac:dyDescent="0.25">
      <c r="F110" s="35" t="s">
        <v>1614</v>
      </c>
      <c r="G110" s="46" t="s">
        <v>6</v>
      </c>
      <c r="H110" s="47" t="s">
        <v>915</v>
      </c>
      <c r="L110" s="3" t="s">
        <v>142</v>
      </c>
      <c r="M110" s="3">
        <v>5576202</v>
      </c>
      <c r="N110" s="3" t="s">
        <v>148</v>
      </c>
      <c r="O110" s="94">
        <v>5472302</v>
      </c>
      <c r="Q110" s="3" t="s">
        <v>159</v>
      </c>
      <c r="R110" s="3" t="s">
        <v>146</v>
      </c>
      <c r="S110" s="3" t="s">
        <v>159</v>
      </c>
      <c r="T110" s="94">
        <v>5552303</v>
      </c>
      <c r="U110" s="3" t="s">
        <v>146</v>
      </c>
      <c r="V110" s="94">
        <v>5421203</v>
      </c>
      <c r="W110" s="93"/>
      <c r="AB110" s="177" t="s">
        <v>1377</v>
      </c>
      <c r="AC110" s="6" t="s">
        <v>3322</v>
      </c>
      <c r="AE110" s="177" t="s">
        <v>1377</v>
      </c>
      <c r="AF110" s="292" t="s">
        <v>3322</v>
      </c>
      <c r="AH110" s="177" t="s">
        <v>1376</v>
      </c>
      <c r="AI110" s="292" t="s">
        <v>3321</v>
      </c>
      <c r="AK110" s="3" t="s">
        <v>2924</v>
      </c>
      <c r="AM110" s="3" t="s">
        <v>2903</v>
      </c>
      <c r="AO110" s="106"/>
    </row>
    <row r="111" spans="6:41" x14ac:dyDescent="0.25">
      <c r="F111" s="35" t="s">
        <v>1614</v>
      </c>
      <c r="G111" s="46" t="s">
        <v>6</v>
      </c>
      <c r="H111" s="47" t="s">
        <v>916</v>
      </c>
      <c r="L111" s="3" t="s">
        <v>144</v>
      </c>
      <c r="M111" s="3">
        <v>5421104</v>
      </c>
      <c r="N111" s="3" t="s">
        <v>149</v>
      </c>
      <c r="O111" s="94">
        <v>5472303</v>
      </c>
      <c r="Q111" s="3" t="s">
        <v>142</v>
      </c>
      <c r="R111" s="3" t="s">
        <v>148</v>
      </c>
      <c r="S111" s="3" t="s">
        <v>142</v>
      </c>
      <c r="T111" s="94">
        <v>5576202</v>
      </c>
      <c r="U111" s="3" t="s">
        <v>148</v>
      </c>
      <c r="V111" s="94">
        <v>5472302</v>
      </c>
      <c r="W111" s="93"/>
      <c r="AB111" s="177" t="s">
        <v>221</v>
      </c>
      <c r="AC111" s="6" t="s">
        <v>3323</v>
      </c>
      <c r="AE111" s="177" t="s">
        <v>221</v>
      </c>
      <c r="AF111" s="292" t="s">
        <v>3323</v>
      </c>
      <c r="AH111" s="177" t="s">
        <v>1377</v>
      </c>
      <c r="AI111" s="292" t="s">
        <v>3322</v>
      </c>
      <c r="AK111" s="3" t="s">
        <v>3728</v>
      </c>
      <c r="AM111" s="3" t="s">
        <v>174</v>
      </c>
      <c r="AO111" s="106"/>
    </row>
    <row r="112" spans="6:41" x14ac:dyDescent="0.25">
      <c r="F112" s="35" t="s">
        <v>1614</v>
      </c>
      <c r="G112" s="46" t="s">
        <v>6</v>
      </c>
      <c r="H112" s="47" t="s">
        <v>917</v>
      </c>
      <c r="L112" s="3" t="s">
        <v>145</v>
      </c>
      <c r="M112" s="3">
        <v>5454302</v>
      </c>
      <c r="N112" s="3" t="s">
        <v>165</v>
      </c>
      <c r="O112" s="94">
        <v>5421501</v>
      </c>
      <c r="Q112" s="3" t="s">
        <v>144</v>
      </c>
      <c r="R112" s="3" t="s">
        <v>149</v>
      </c>
      <c r="S112" s="3" t="s">
        <v>144</v>
      </c>
      <c r="T112" s="94">
        <v>5421104</v>
      </c>
      <c r="U112" s="3" t="s">
        <v>149</v>
      </c>
      <c r="V112" s="94">
        <v>5472303</v>
      </c>
      <c r="W112" s="93"/>
      <c r="AB112" s="177" t="s">
        <v>225</v>
      </c>
      <c r="AC112" s="6" t="s">
        <v>3324</v>
      </c>
      <c r="AE112" s="177" t="s">
        <v>225</v>
      </c>
      <c r="AF112" s="292" t="s">
        <v>3324</v>
      </c>
      <c r="AH112" s="177" t="s">
        <v>221</v>
      </c>
      <c r="AI112" s="292" t="s">
        <v>3323</v>
      </c>
      <c r="AK112" s="3" t="s">
        <v>3586</v>
      </c>
      <c r="AM112" s="3" t="s">
        <v>3517</v>
      </c>
      <c r="AO112" s="106"/>
    </row>
    <row r="113" spans="6:41" x14ac:dyDescent="0.25">
      <c r="F113" s="35" t="s">
        <v>1614</v>
      </c>
      <c r="G113" s="46" t="s">
        <v>6</v>
      </c>
      <c r="H113" s="47" t="s">
        <v>918</v>
      </c>
      <c r="L113" s="3" t="s">
        <v>146</v>
      </c>
      <c r="M113" s="3">
        <v>5421203</v>
      </c>
      <c r="N113" s="3" t="s">
        <v>150</v>
      </c>
      <c r="O113" s="94">
        <v>5472504</v>
      </c>
      <c r="Q113" s="3" t="s">
        <v>145</v>
      </c>
      <c r="R113" s="3" t="s">
        <v>165</v>
      </c>
      <c r="S113" s="3" t="s">
        <v>145</v>
      </c>
      <c r="T113" s="94">
        <v>5454302</v>
      </c>
      <c r="U113" s="3" t="s">
        <v>165</v>
      </c>
      <c r="V113" s="94">
        <v>5421501</v>
      </c>
      <c r="W113" s="93"/>
      <c r="AB113" s="177" t="s">
        <v>1378</v>
      </c>
      <c r="AC113" s="6" t="s">
        <v>3325</v>
      </c>
      <c r="AE113" s="177" t="s">
        <v>1378</v>
      </c>
      <c r="AF113" s="292" t="s">
        <v>3325</v>
      </c>
      <c r="AH113" s="177" t="s">
        <v>225</v>
      </c>
      <c r="AI113" s="292" t="s">
        <v>3324</v>
      </c>
      <c r="AK113" s="3" t="s">
        <v>3587</v>
      </c>
      <c r="AM113" s="3" t="s">
        <v>3172</v>
      </c>
      <c r="AO113" s="106"/>
    </row>
    <row r="114" spans="6:41" x14ac:dyDescent="0.25">
      <c r="F114" s="35" t="s">
        <v>1614</v>
      </c>
      <c r="G114" s="46" t="s">
        <v>6</v>
      </c>
      <c r="H114" s="47" t="s">
        <v>919</v>
      </c>
      <c r="L114" s="3" t="s">
        <v>148</v>
      </c>
      <c r="M114" s="3">
        <v>5472302</v>
      </c>
      <c r="N114" s="3" t="s">
        <v>151</v>
      </c>
      <c r="O114" s="94">
        <v>5472301</v>
      </c>
      <c r="Q114" s="3" t="s">
        <v>146</v>
      </c>
      <c r="R114" s="3" t="s">
        <v>150</v>
      </c>
      <c r="S114" s="3" t="s">
        <v>146</v>
      </c>
      <c r="T114" s="94">
        <v>5421203</v>
      </c>
      <c r="U114" s="3" t="s">
        <v>150</v>
      </c>
      <c r="V114" s="94">
        <v>5472504</v>
      </c>
      <c r="W114" s="93"/>
      <c r="AB114" s="177" t="s">
        <v>228</v>
      </c>
      <c r="AC114" s="6" t="s">
        <v>3326</v>
      </c>
      <c r="AE114" s="177" t="s">
        <v>228</v>
      </c>
      <c r="AF114" s="292" t="s">
        <v>3326</v>
      </c>
      <c r="AH114" s="177" t="s">
        <v>1378</v>
      </c>
      <c r="AI114" s="292" t="s">
        <v>3325</v>
      </c>
      <c r="AK114" s="3" t="s">
        <v>3021</v>
      </c>
      <c r="AM114" s="3" t="s">
        <v>3482</v>
      </c>
      <c r="AO114" s="106"/>
    </row>
    <row r="115" spans="6:41" x14ac:dyDescent="0.25">
      <c r="F115" s="35" t="s">
        <v>1614</v>
      </c>
      <c r="G115" s="46" t="s">
        <v>6</v>
      </c>
      <c r="H115" s="47" t="s">
        <v>920</v>
      </c>
      <c r="L115" s="3" t="s">
        <v>149</v>
      </c>
      <c r="M115" s="3">
        <v>5472303</v>
      </c>
      <c r="N115" s="3" t="s">
        <v>152</v>
      </c>
      <c r="O115" s="94">
        <v>5472505</v>
      </c>
      <c r="Q115" s="3" t="s">
        <v>148</v>
      </c>
      <c r="R115" s="3" t="s">
        <v>151</v>
      </c>
      <c r="S115" s="3" t="s">
        <v>148</v>
      </c>
      <c r="T115" s="94">
        <v>5472302</v>
      </c>
      <c r="U115" s="3" t="s">
        <v>151</v>
      </c>
      <c r="V115" s="94">
        <v>5472301</v>
      </c>
      <c r="W115" s="93"/>
      <c r="AB115" s="177" t="s">
        <v>231</v>
      </c>
      <c r="AC115" s="6" t="s">
        <v>3327</v>
      </c>
      <c r="AE115" s="177" t="s">
        <v>231</v>
      </c>
      <c r="AF115" s="292" t="s">
        <v>3327</v>
      </c>
      <c r="AH115" s="177" t="s">
        <v>228</v>
      </c>
      <c r="AI115" s="292" t="s">
        <v>3326</v>
      </c>
      <c r="AK115" s="3" t="s">
        <v>3588</v>
      </c>
      <c r="AM115" s="3" t="s">
        <v>2877</v>
      </c>
      <c r="AO115" s="106"/>
    </row>
    <row r="116" spans="6:41" x14ac:dyDescent="0.25">
      <c r="F116" s="35" t="s">
        <v>1614</v>
      </c>
      <c r="G116" s="46" t="s">
        <v>6</v>
      </c>
      <c r="H116" s="47" t="s">
        <v>921</v>
      </c>
      <c r="L116" s="3" t="s">
        <v>165</v>
      </c>
      <c r="M116" s="3">
        <v>5421501</v>
      </c>
      <c r="N116" s="3" t="s">
        <v>153</v>
      </c>
      <c r="O116" s="94">
        <v>3452105</v>
      </c>
      <c r="Q116" s="3" t="s">
        <v>149</v>
      </c>
      <c r="R116" s="3" t="s">
        <v>152</v>
      </c>
      <c r="S116" s="3" t="s">
        <v>149</v>
      </c>
      <c r="T116" s="94">
        <v>5472303</v>
      </c>
      <c r="U116" s="3" t="s">
        <v>152</v>
      </c>
      <c r="V116" s="94">
        <v>5472505</v>
      </c>
      <c r="W116" s="93"/>
      <c r="AB116" s="177" t="s">
        <v>234</v>
      </c>
      <c r="AC116" s="6" t="s">
        <v>3328</v>
      </c>
      <c r="AE116" s="177" t="s">
        <v>234</v>
      </c>
      <c r="AF116" s="292" t="s">
        <v>3328</v>
      </c>
      <c r="AH116" s="177" t="s">
        <v>231</v>
      </c>
      <c r="AI116" s="292" t="s">
        <v>3327</v>
      </c>
      <c r="AK116" s="3" t="s">
        <v>3589</v>
      </c>
      <c r="AM116" s="3" t="s">
        <v>2871</v>
      </c>
      <c r="AO116" s="106"/>
    </row>
    <row r="117" spans="6:41" x14ac:dyDescent="0.25">
      <c r="F117" s="35" t="s">
        <v>1614</v>
      </c>
      <c r="G117" s="46" t="s">
        <v>6</v>
      </c>
      <c r="H117" s="47" t="s">
        <v>922</v>
      </c>
      <c r="L117" s="3" t="s">
        <v>150</v>
      </c>
      <c r="M117" s="3">
        <v>5472504</v>
      </c>
      <c r="N117" s="3" t="s">
        <v>155</v>
      </c>
      <c r="O117" s="94">
        <v>5476101</v>
      </c>
      <c r="Q117" s="3" t="s">
        <v>165</v>
      </c>
      <c r="R117" s="3" t="s">
        <v>153</v>
      </c>
      <c r="S117" s="3" t="s">
        <v>165</v>
      </c>
      <c r="T117" s="94">
        <v>5421501</v>
      </c>
      <c r="U117" s="3" t="s">
        <v>153</v>
      </c>
      <c r="V117" s="94">
        <v>3452105</v>
      </c>
      <c r="W117" s="93"/>
      <c r="AB117" s="177" t="s">
        <v>235</v>
      </c>
      <c r="AC117" s="6" t="s">
        <v>3329</v>
      </c>
      <c r="AE117" s="177" t="s">
        <v>235</v>
      </c>
      <c r="AF117" s="292" t="s">
        <v>3329</v>
      </c>
      <c r="AH117" s="177" t="s">
        <v>234</v>
      </c>
      <c r="AI117" s="292" t="s">
        <v>3328</v>
      </c>
      <c r="AK117" s="3" t="s">
        <v>3022</v>
      </c>
      <c r="AM117" s="3" t="s">
        <v>2908</v>
      </c>
      <c r="AO117" s="106"/>
    </row>
    <row r="118" spans="6:41" x14ac:dyDescent="0.25">
      <c r="F118" s="35" t="s">
        <v>1614</v>
      </c>
      <c r="G118" s="46" t="s">
        <v>6</v>
      </c>
      <c r="H118" s="47" t="s">
        <v>923</v>
      </c>
      <c r="L118" s="3" t="s">
        <v>151</v>
      </c>
      <c r="M118" s="3">
        <v>5472301</v>
      </c>
      <c r="N118" s="3" t="s">
        <v>156</v>
      </c>
      <c r="O118" s="94">
        <v>3562201</v>
      </c>
      <c r="Q118" s="3" t="s">
        <v>150</v>
      </c>
      <c r="R118" s="3" t="s">
        <v>155</v>
      </c>
      <c r="S118" s="3" t="s">
        <v>150</v>
      </c>
      <c r="T118" s="94">
        <v>5472504</v>
      </c>
      <c r="U118" s="3" t="s">
        <v>155</v>
      </c>
      <c r="V118" s="94">
        <v>5476101</v>
      </c>
      <c r="W118" s="93"/>
      <c r="AB118" s="177" t="s">
        <v>239</v>
      </c>
      <c r="AC118" s="6" t="s">
        <v>3330</v>
      </c>
      <c r="AE118" s="177" t="s">
        <v>239</v>
      </c>
      <c r="AF118" s="292" t="s">
        <v>3330</v>
      </c>
      <c r="AH118" s="177" t="s">
        <v>235</v>
      </c>
      <c r="AI118" s="292" t="s">
        <v>3329</v>
      </c>
      <c r="AK118" s="3" t="s">
        <v>3591</v>
      </c>
      <c r="AM118" s="3" t="s">
        <v>2899</v>
      </c>
      <c r="AO118" s="106"/>
    </row>
    <row r="119" spans="6:41" x14ac:dyDescent="0.25">
      <c r="F119" s="35" t="s">
        <v>1614</v>
      </c>
      <c r="G119" s="46" t="s">
        <v>6</v>
      </c>
      <c r="H119" s="47" t="s">
        <v>924</v>
      </c>
      <c r="L119" s="3" t="s">
        <v>152</v>
      </c>
      <c r="M119" s="3">
        <v>5472505</v>
      </c>
      <c r="N119" s="3" t="s">
        <v>172</v>
      </c>
      <c r="O119" s="94">
        <v>5472604</v>
      </c>
      <c r="Q119" s="3" t="s">
        <v>151</v>
      </c>
      <c r="R119" s="3" t="s">
        <v>156</v>
      </c>
      <c r="S119" s="3" t="s">
        <v>151</v>
      </c>
      <c r="T119" s="94">
        <v>5472301</v>
      </c>
      <c r="U119" s="3" t="s">
        <v>156</v>
      </c>
      <c r="V119" s="94">
        <v>3562201</v>
      </c>
      <c r="W119" s="93"/>
      <c r="AB119" s="177" t="s">
        <v>243</v>
      </c>
      <c r="AC119" s="6" t="s">
        <v>3331</v>
      </c>
      <c r="AE119" s="177" t="s">
        <v>243</v>
      </c>
      <c r="AF119" s="292" t="s">
        <v>3331</v>
      </c>
      <c r="AH119" s="177" t="s">
        <v>239</v>
      </c>
      <c r="AI119" s="292" t="s">
        <v>3330</v>
      </c>
      <c r="AK119" s="3" t="s">
        <v>3592</v>
      </c>
      <c r="AM119" s="3" t="s">
        <v>2857</v>
      </c>
      <c r="AO119" s="106"/>
    </row>
    <row r="120" spans="6:41" x14ac:dyDescent="0.25">
      <c r="F120" s="35" t="s">
        <v>1614</v>
      </c>
      <c r="G120" s="46" t="s">
        <v>6</v>
      </c>
      <c r="H120" s="47" t="s">
        <v>925</v>
      </c>
      <c r="L120" s="3" t="s">
        <v>153</v>
      </c>
      <c r="M120" s="3">
        <v>3452105</v>
      </c>
      <c r="N120" s="3" t="s">
        <v>157</v>
      </c>
      <c r="O120" s="94">
        <v>5414001</v>
      </c>
      <c r="Q120" s="3" t="s">
        <v>152</v>
      </c>
      <c r="R120" s="3" t="s">
        <v>172</v>
      </c>
      <c r="S120" s="3" t="s">
        <v>152</v>
      </c>
      <c r="T120" s="94">
        <v>5472505</v>
      </c>
      <c r="U120" s="3" t="s">
        <v>172</v>
      </c>
      <c r="V120" s="94">
        <v>5472604</v>
      </c>
      <c r="W120" s="93"/>
      <c r="AB120" s="177" t="s">
        <v>1379</v>
      </c>
      <c r="AC120" s="6" t="s">
        <v>3332</v>
      </c>
      <c r="AE120" s="177" t="s">
        <v>1379</v>
      </c>
      <c r="AF120" s="292" t="s">
        <v>3332</v>
      </c>
      <c r="AH120" s="177" t="s">
        <v>243</v>
      </c>
      <c r="AI120" s="292" t="s">
        <v>3331</v>
      </c>
      <c r="AK120" s="3" t="s">
        <v>3005</v>
      </c>
      <c r="AM120" s="3" t="s">
        <v>170</v>
      </c>
      <c r="AO120" s="106"/>
    </row>
    <row r="121" spans="6:41" x14ac:dyDescent="0.25">
      <c r="F121" s="35" t="s">
        <v>1614</v>
      </c>
      <c r="G121" s="46" t="s">
        <v>6</v>
      </c>
      <c r="H121" s="47" t="s">
        <v>926</v>
      </c>
      <c r="L121" s="3" t="s">
        <v>155</v>
      </c>
      <c r="M121" s="3">
        <v>5476101</v>
      </c>
      <c r="N121" s="3" t="s">
        <v>174</v>
      </c>
      <c r="O121" s="94">
        <v>5552405</v>
      </c>
      <c r="Q121" s="3" t="s">
        <v>153</v>
      </c>
      <c r="R121" s="3" t="s">
        <v>157</v>
      </c>
      <c r="S121" s="3" t="s">
        <v>153</v>
      </c>
      <c r="T121" s="94">
        <v>3452105</v>
      </c>
      <c r="U121" s="3" t="s">
        <v>157</v>
      </c>
      <c r="V121" s="94">
        <v>5414001</v>
      </c>
      <c r="W121" s="93"/>
      <c r="AB121" s="177" t="s">
        <v>1380</v>
      </c>
      <c r="AC121" s="6" t="s">
        <v>3333</v>
      </c>
      <c r="AE121" s="177" t="s">
        <v>1380</v>
      </c>
      <c r="AF121" s="292" t="s">
        <v>3333</v>
      </c>
      <c r="AH121" s="177" t="s">
        <v>1379</v>
      </c>
      <c r="AI121" s="292" t="s">
        <v>3332</v>
      </c>
      <c r="AK121" s="3" t="s">
        <v>3006</v>
      </c>
      <c r="AM121" s="3" t="s">
        <v>3102</v>
      </c>
      <c r="AO121" s="106"/>
    </row>
    <row r="122" spans="6:41" x14ac:dyDescent="0.25">
      <c r="F122" s="35" t="s">
        <v>1614</v>
      </c>
      <c r="G122" s="46" t="s">
        <v>6</v>
      </c>
      <c r="H122" s="47" t="s">
        <v>927</v>
      </c>
      <c r="L122" s="3" t="s">
        <v>156</v>
      </c>
      <c r="M122" s="3">
        <v>3562201</v>
      </c>
      <c r="N122" s="3" t="s">
        <v>176</v>
      </c>
      <c r="O122" s="94">
        <v>3452401</v>
      </c>
      <c r="Q122" s="3" t="s">
        <v>155</v>
      </c>
      <c r="R122" s="3" t="s">
        <v>174</v>
      </c>
      <c r="S122" s="3" t="s">
        <v>155</v>
      </c>
      <c r="T122" s="94">
        <v>5476101</v>
      </c>
      <c r="U122" s="3" t="s">
        <v>174</v>
      </c>
      <c r="V122" s="94">
        <v>5552405</v>
      </c>
      <c r="W122" s="93"/>
      <c r="AB122" s="177" t="s">
        <v>292</v>
      </c>
      <c r="AC122" s="6" t="s">
        <v>3334</v>
      </c>
      <c r="AE122" s="177" t="s">
        <v>292</v>
      </c>
      <c r="AF122" s="292" t="s">
        <v>3334</v>
      </c>
      <c r="AH122" s="177" t="s">
        <v>1380</v>
      </c>
      <c r="AI122" s="292" t="s">
        <v>3333</v>
      </c>
      <c r="AK122" s="3" t="s">
        <v>3593</v>
      </c>
      <c r="AM122" s="3" t="s">
        <v>2928</v>
      </c>
      <c r="AO122" s="106"/>
    </row>
    <row r="123" spans="6:41" x14ac:dyDescent="0.25">
      <c r="H123" s="34" t="s">
        <v>7</v>
      </c>
      <c r="L123" s="3" t="s">
        <v>172</v>
      </c>
      <c r="M123" s="3">
        <v>5472604</v>
      </c>
      <c r="N123" s="3" t="s">
        <v>158</v>
      </c>
      <c r="O123" s="94">
        <v>5472003</v>
      </c>
      <c r="Q123" s="3" t="s">
        <v>156</v>
      </c>
      <c r="R123" s="3" t="s">
        <v>176</v>
      </c>
      <c r="S123" s="3" t="s">
        <v>156</v>
      </c>
      <c r="T123" s="94">
        <v>3562201</v>
      </c>
      <c r="U123" s="3" t="s">
        <v>176</v>
      </c>
      <c r="V123" s="94">
        <v>3452401</v>
      </c>
      <c r="W123" s="93"/>
      <c r="AB123" s="177" t="s">
        <v>1381</v>
      </c>
      <c r="AC123" s="6" t="s">
        <v>3335</v>
      </c>
      <c r="AE123" s="177" t="s">
        <v>1381</v>
      </c>
      <c r="AF123" s="292" t="s">
        <v>3335</v>
      </c>
      <c r="AH123" s="177" t="s">
        <v>292</v>
      </c>
      <c r="AI123" s="292" t="s">
        <v>3334</v>
      </c>
      <c r="AK123" s="3" t="s">
        <v>3007</v>
      </c>
      <c r="AM123" s="3" t="s">
        <v>3547</v>
      </c>
      <c r="AO123" s="106"/>
    </row>
    <row r="124" spans="6:41" x14ac:dyDescent="0.25">
      <c r="F124" s="35" t="s">
        <v>1614</v>
      </c>
      <c r="G124" s="46" t="s">
        <v>7</v>
      </c>
      <c r="H124" s="47" t="s">
        <v>929</v>
      </c>
      <c r="L124" s="3" t="s">
        <v>157</v>
      </c>
      <c r="M124" s="3">
        <v>5414001</v>
      </c>
      <c r="N124" s="3" t="s">
        <v>648</v>
      </c>
      <c r="O124" s="94">
        <v>3484103</v>
      </c>
      <c r="Q124" s="3" t="s">
        <v>172</v>
      </c>
      <c r="R124" s="3" t="s">
        <v>158</v>
      </c>
      <c r="S124" s="3" t="s">
        <v>172</v>
      </c>
      <c r="T124" s="94">
        <v>5472604</v>
      </c>
      <c r="U124" s="3" t="s">
        <v>158</v>
      </c>
      <c r="V124" s="94">
        <v>5472003</v>
      </c>
      <c r="W124" s="93"/>
      <c r="AB124" s="177" t="s">
        <v>1382</v>
      </c>
      <c r="AC124" s="6" t="s">
        <v>3336</v>
      </c>
      <c r="AE124" s="177" t="s">
        <v>1382</v>
      </c>
      <c r="AF124" s="292" t="s">
        <v>3336</v>
      </c>
      <c r="AH124" s="177" t="s">
        <v>1381</v>
      </c>
      <c r="AI124" s="292" t="s">
        <v>3335</v>
      </c>
      <c r="AK124" s="3" t="s">
        <v>2930</v>
      </c>
      <c r="AM124" s="3" t="s">
        <v>3548</v>
      </c>
      <c r="AO124" s="106"/>
    </row>
    <row r="125" spans="6:41" x14ac:dyDescent="0.25">
      <c r="F125" s="35" t="s">
        <v>1614</v>
      </c>
      <c r="G125" s="46" t="s">
        <v>7</v>
      </c>
      <c r="H125" s="47" t="s">
        <v>930</v>
      </c>
      <c r="L125" s="3" t="s">
        <v>174</v>
      </c>
      <c r="M125" s="3">
        <v>5552405</v>
      </c>
      <c r="N125" s="3" t="s">
        <v>160</v>
      </c>
      <c r="O125" s="94">
        <v>5484101</v>
      </c>
      <c r="Q125" s="3" t="s">
        <v>157</v>
      </c>
      <c r="R125" s="3" t="s">
        <v>178</v>
      </c>
      <c r="S125" s="3" t="s">
        <v>157</v>
      </c>
      <c r="T125" s="94">
        <v>5414001</v>
      </c>
      <c r="U125" s="3" t="s">
        <v>178</v>
      </c>
      <c r="V125" s="94">
        <v>3484103</v>
      </c>
      <c r="W125" s="93"/>
      <c r="AB125" s="177" t="s">
        <v>1383</v>
      </c>
      <c r="AC125" s="6" t="s">
        <v>3337</v>
      </c>
      <c r="AE125" s="177" t="s">
        <v>1383</v>
      </c>
      <c r="AF125" s="292" t="s">
        <v>3337</v>
      </c>
      <c r="AH125" s="177" t="s">
        <v>3209</v>
      </c>
      <c r="AI125" s="292" t="s">
        <v>3391</v>
      </c>
      <c r="AK125" s="3" t="s">
        <v>2931</v>
      </c>
      <c r="AM125" s="3" t="s">
        <v>3715</v>
      </c>
      <c r="AO125" s="106"/>
    </row>
    <row r="126" spans="6:41" x14ac:dyDescent="0.25">
      <c r="F126" s="35" t="s">
        <v>1614</v>
      </c>
      <c r="G126" s="46" t="s">
        <v>7</v>
      </c>
      <c r="H126" s="47" t="s">
        <v>931</v>
      </c>
      <c r="L126" s="3" t="s">
        <v>176</v>
      </c>
      <c r="M126" s="3">
        <v>3452401</v>
      </c>
      <c r="N126" s="3" t="s">
        <v>161</v>
      </c>
      <c r="O126" s="94">
        <v>3462401</v>
      </c>
      <c r="Q126" s="3" t="s">
        <v>174</v>
      </c>
      <c r="R126" s="3" t="s">
        <v>160</v>
      </c>
      <c r="S126" s="3" t="s">
        <v>174</v>
      </c>
      <c r="T126" s="94">
        <v>5552405</v>
      </c>
      <c r="U126" s="3" t="s">
        <v>160</v>
      </c>
      <c r="V126" s="94">
        <v>5484101</v>
      </c>
      <c r="W126" s="93"/>
      <c r="AB126" s="177" t="s">
        <v>262</v>
      </c>
      <c r="AC126" s="6" t="s">
        <v>3338</v>
      </c>
      <c r="AE126" s="177" t="s">
        <v>262</v>
      </c>
      <c r="AF126" s="292" t="s">
        <v>3338</v>
      </c>
      <c r="AH126" s="177" t="s">
        <v>1382</v>
      </c>
      <c r="AI126" s="292" t="s">
        <v>3336</v>
      </c>
      <c r="AK126" s="3" t="s">
        <v>2932</v>
      </c>
      <c r="AM126" s="3" t="s">
        <v>3113</v>
      </c>
      <c r="AO126" s="106"/>
    </row>
    <row r="127" spans="6:41" x14ac:dyDescent="0.25">
      <c r="F127" s="35" t="s">
        <v>1614</v>
      </c>
      <c r="G127" s="46" t="s">
        <v>7</v>
      </c>
      <c r="H127" s="47" t="s">
        <v>932</v>
      </c>
      <c r="L127" s="3" t="s">
        <v>158</v>
      </c>
      <c r="M127" s="3">
        <v>5472003</v>
      </c>
      <c r="N127" s="3" t="s">
        <v>162</v>
      </c>
      <c r="O127" s="94">
        <v>5421301</v>
      </c>
      <c r="Q127" s="3" t="s">
        <v>176</v>
      </c>
      <c r="R127" s="3" t="s">
        <v>161</v>
      </c>
      <c r="S127" s="3" t="s">
        <v>176</v>
      </c>
      <c r="T127" s="94">
        <v>3452401</v>
      </c>
      <c r="U127" s="3" t="s">
        <v>161</v>
      </c>
      <c r="V127" s="94">
        <v>3462401</v>
      </c>
      <c r="W127" s="93"/>
      <c r="AB127" s="177" t="s">
        <v>1385</v>
      </c>
      <c r="AC127" s="6" t="s">
        <v>3339</v>
      </c>
      <c r="AE127" s="177" t="s">
        <v>1385</v>
      </c>
      <c r="AF127" s="292" t="s">
        <v>3339</v>
      </c>
      <c r="AH127" s="177" t="s">
        <v>1383</v>
      </c>
      <c r="AI127" s="292" t="s">
        <v>3337</v>
      </c>
      <c r="AK127" s="3" t="s">
        <v>3549</v>
      </c>
      <c r="AM127" s="3" t="s">
        <v>3719</v>
      </c>
      <c r="AO127" s="106"/>
    </row>
    <row r="128" spans="6:41" x14ac:dyDescent="0.25">
      <c r="F128" s="35" t="s">
        <v>1614</v>
      </c>
      <c r="G128" s="46" t="s">
        <v>7</v>
      </c>
      <c r="H128" s="47" t="s">
        <v>933</v>
      </c>
      <c r="L128" s="3" t="s">
        <v>178</v>
      </c>
      <c r="M128" s="3">
        <v>3484103</v>
      </c>
      <c r="N128" s="3" t="s">
        <v>183</v>
      </c>
      <c r="O128" s="94">
        <v>5521501</v>
      </c>
      <c r="Q128" s="3" t="s">
        <v>158</v>
      </c>
      <c r="R128" s="3" t="s">
        <v>162</v>
      </c>
      <c r="S128" s="3" t="s">
        <v>158</v>
      </c>
      <c r="T128" s="94">
        <v>5472003</v>
      </c>
      <c r="U128" s="3" t="s">
        <v>162</v>
      </c>
      <c r="V128" s="94">
        <v>5421301</v>
      </c>
      <c r="W128" s="93"/>
      <c r="AB128" s="177" t="s">
        <v>1386</v>
      </c>
      <c r="AC128" s="6" t="s">
        <v>3340</v>
      </c>
      <c r="AE128" s="177" t="s">
        <v>1386</v>
      </c>
      <c r="AF128" s="292" t="s">
        <v>3340</v>
      </c>
      <c r="AH128" s="177" t="s">
        <v>262</v>
      </c>
      <c r="AI128" s="292" t="s">
        <v>3338</v>
      </c>
      <c r="AK128" s="3" t="s">
        <v>2919</v>
      </c>
      <c r="AM128" s="3" t="s">
        <v>3093</v>
      </c>
      <c r="AO128" s="106"/>
    </row>
    <row r="129" spans="6:41" x14ac:dyDescent="0.25">
      <c r="F129" s="35" t="s">
        <v>1614</v>
      </c>
      <c r="G129" s="46" t="s">
        <v>7</v>
      </c>
      <c r="H129" s="47" t="s">
        <v>934</v>
      </c>
      <c r="L129" s="3" t="s">
        <v>160</v>
      </c>
      <c r="M129" s="3">
        <v>5484101</v>
      </c>
      <c r="N129" s="3" t="s">
        <v>185</v>
      </c>
      <c r="O129" s="94">
        <v>5521301</v>
      </c>
      <c r="Q129" s="3" t="s">
        <v>178</v>
      </c>
      <c r="R129" s="3" t="s">
        <v>183</v>
      </c>
      <c r="S129" s="3" t="s">
        <v>178</v>
      </c>
      <c r="T129" s="94">
        <v>3484103</v>
      </c>
      <c r="U129" s="3" t="s">
        <v>183</v>
      </c>
      <c r="V129" s="94">
        <v>5521501</v>
      </c>
      <c r="W129" s="93"/>
      <c r="AB129" s="177" t="s">
        <v>1387</v>
      </c>
      <c r="AC129" s="6" t="s">
        <v>3341</v>
      </c>
      <c r="AE129" s="177" t="s">
        <v>1387</v>
      </c>
      <c r="AF129" s="292" t="s">
        <v>3341</v>
      </c>
      <c r="AH129" s="177" t="s">
        <v>1385</v>
      </c>
      <c r="AI129" s="292" t="s">
        <v>3339</v>
      </c>
      <c r="AK129" s="3" t="s">
        <v>3532</v>
      </c>
      <c r="AM129" s="3" t="s">
        <v>3531</v>
      </c>
      <c r="AO129" s="106"/>
    </row>
    <row r="130" spans="6:41" x14ac:dyDescent="0.25">
      <c r="F130" s="35" t="s">
        <v>1614</v>
      </c>
      <c r="G130" s="46" t="s">
        <v>7</v>
      </c>
      <c r="H130" s="47" t="s">
        <v>935</v>
      </c>
      <c r="L130" s="3" t="s">
        <v>161</v>
      </c>
      <c r="M130" s="3">
        <v>3462401</v>
      </c>
      <c r="N130" s="3" t="s">
        <v>186</v>
      </c>
      <c r="O130" s="94">
        <v>5552306</v>
      </c>
      <c r="Q130" s="3" t="s">
        <v>160</v>
      </c>
      <c r="R130" s="3" t="s">
        <v>185</v>
      </c>
      <c r="S130" s="3" t="s">
        <v>160</v>
      </c>
      <c r="T130" s="94">
        <v>5484101</v>
      </c>
      <c r="U130" s="3" t="s">
        <v>185</v>
      </c>
      <c r="V130" s="94">
        <v>5521301</v>
      </c>
      <c r="W130" s="93"/>
      <c r="AB130" s="177" t="s">
        <v>1388</v>
      </c>
      <c r="AC130" s="6" t="s">
        <v>3342</v>
      </c>
      <c r="AE130" s="177" t="s">
        <v>1388</v>
      </c>
      <c r="AF130" s="292" t="s">
        <v>3342</v>
      </c>
      <c r="AH130" s="177" t="s">
        <v>1386</v>
      </c>
      <c r="AI130" s="292" t="s">
        <v>3340</v>
      </c>
      <c r="AK130" s="3" t="s">
        <v>3556</v>
      </c>
      <c r="AM130" s="3" t="s">
        <v>3485</v>
      </c>
      <c r="AO130" s="106"/>
    </row>
    <row r="131" spans="6:41" x14ac:dyDescent="0.25">
      <c r="F131" s="35" t="s">
        <v>1614</v>
      </c>
      <c r="G131" s="46" t="s">
        <v>7</v>
      </c>
      <c r="H131" s="47" t="s">
        <v>936</v>
      </c>
      <c r="L131" s="3" t="s">
        <v>162</v>
      </c>
      <c r="M131" s="3">
        <v>5421301</v>
      </c>
      <c r="N131" s="3" t="s">
        <v>163</v>
      </c>
      <c r="O131" s="94">
        <v>3452106</v>
      </c>
      <c r="Q131" s="3" t="s">
        <v>161</v>
      </c>
      <c r="R131" s="3" t="s">
        <v>186</v>
      </c>
      <c r="S131" s="3" t="s">
        <v>161</v>
      </c>
      <c r="T131" s="94">
        <v>3462401</v>
      </c>
      <c r="U131" s="3" t="s">
        <v>186</v>
      </c>
      <c r="V131" s="94">
        <v>5552306</v>
      </c>
      <c r="W131" s="93"/>
      <c r="AB131" s="177" t="s">
        <v>269</v>
      </c>
      <c r="AC131" s="6" t="s">
        <v>3343</v>
      </c>
      <c r="AE131" s="177" t="s">
        <v>269</v>
      </c>
      <c r="AF131" s="292" t="s">
        <v>3343</v>
      </c>
      <c r="AH131" s="177" t="s">
        <v>3210</v>
      </c>
      <c r="AI131" s="292" t="s">
        <v>3341</v>
      </c>
      <c r="AK131" s="3" t="s">
        <v>3594</v>
      </c>
      <c r="AM131" s="3" t="s">
        <v>2924</v>
      </c>
      <c r="AO131" s="106"/>
    </row>
    <row r="132" spans="6:41" x14ac:dyDescent="0.25">
      <c r="F132" s="35" t="s">
        <v>1614</v>
      </c>
      <c r="G132" s="46" t="s">
        <v>7</v>
      </c>
      <c r="H132" s="47" t="s">
        <v>937</v>
      </c>
      <c r="L132" s="3" t="s">
        <v>183</v>
      </c>
      <c r="M132" s="3">
        <v>5521501</v>
      </c>
      <c r="N132" s="3" t="s">
        <v>164</v>
      </c>
      <c r="O132" s="94">
        <v>5458202</v>
      </c>
      <c r="Q132" s="3" t="s">
        <v>162</v>
      </c>
      <c r="R132" s="3" t="s">
        <v>163</v>
      </c>
      <c r="S132" s="3" t="s">
        <v>162</v>
      </c>
      <c r="T132" s="94">
        <v>5421301</v>
      </c>
      <c r="U132" s="3" t="s">
        <v>163</v>
      </c>
      <c r="V132" s="94">
        <v>3452106</v>
      </c>
      <c r="W132" s="93"/>
      <c r="AB132" s="177" t="s">
        <v>719</v>
      </c>
      <c r="AC132" s="6" t="s">
        <v>3344</v>
      </c>
      <c r="AE132" s="177" t="s">
        <v>719</v>
      </c>
      <c r="AF132" s="292" t="s">
        <v>3344</v>
      </c>
      <c r="AH132" s="177" t="s">
        <v>3211</v>
      </c>
      <c r="AI132" s="292" t="s">
        <v>3342</v>
      </c>
      <c r="AK132" s="3" t="s">
        <v>3596</v>
      </c>
      <c r="AM132" s="3" t="s">
        <v>3728</v>
      </c>
      <c r="AO132" s="106"/>
    </row>
    <row r="133" spans="6:41" x14ac:dyDescent="0.25">
      <c r="F133" s="35" t="s">
        <v>1614</v>
      </c>
      <c r="G133" s="46" t="s">
        <v>7</v>
      </c>
      <c r="H133" s="47" t="s">
        <v>938</v>
      </c>
      <c r="L133" s="3" t="s">
        <v>185</v>
      </c>
      <c r="M133" s="3">
        <v>5521301</v>
      </c>
      <c r="N133" s="3" t="s">
        <v>649</v>
      </c>
      <c r="O133" s="94">
        <v>5486302</v>
      </c>
      <c r="Q133" s="3" t="s">
        <v>183</v>
      </c>
      <c r="R133" s="3" t="s">
        <v>164</v>
      </c>
      <c r="S133" s="3" t="s">
        <v>183</v>
      </c>
      <c r="T133" s="94">
        <v>5521501</v>
      </c>
      <c r="U133" s="3" t="s">
        <v>164</v>
      </c>
      <c r="V133" s="94">
        <v>5458202</v>
      </c>
      <c r="W133" s="93"/>
      <c r="AB133" s="177" t="s">
        <v>272</v>
      </c>
      <c r="AC133" s="6" t="s">
        <v>3345</v>
      </c>
      <c r="AE133" s="177" t="s">
        <v>272</v>
      </c>
      <c r="AF133" s="292" t="s">
        <v>3345</v>
      </c>
      <c r="AH133" s="177" t="s">
        <v>269</v>
      </c>
      <c r="AI133" s="292" t="s">
        <v>3343</v>
      </c>
      <c r="AK133" s="3" t="s">
        <v>3598</v>
      </c>
      <c r="AM133" s="3" t="s">
        <v>3586</v>
      </c>
      <c r="AO133" s="106"/>
    </row>
    <row r="134" spans="6:41" x14ac:dyDescent="0.25">
      <c r="F134" s="35" t="s">
        <v>1614</v>
      </c>
      <c r="G134" s="46" t="s">
        <v>7</v>
      </c>
      <c r="H134" s="47" t="s">
        <v>939</v>
      </c>
      <c r="L134" s="3" t="s">
        <v>186</v>
      </c>
      <c r="M134" s="3">
        <v>5552306</v>
      </c>
      <c r="N134" s="3" t="s">
        <v>650</v>
      </c>
      <c r="O134" s="94">
        <v>5586301</v>
      </c>
      <c r="Q134" s="3" t="s">
        <v>185</v>
      </c>
      <c r="R134" s="3" t="s">
        <v>189</v>
      </c>
      <c r="S134" s="3" t="s">
        <v>185</v>
      </c>
      <c r="T134" s="94">
        <v>5521301</v>
      </c>
      <c r="U134" s="3" t="s">
        <v>189</v>
      </c>
      <c r="V134" s="94">
        <v>5486302</v>
      </c>
      <c r="W134" s="93"/>
      <c r="AB134" s="177" t="s">
        <v>1390</v>
      </c>
      <c r="AC134" s="6" t="s">
        <v>3346</v>
      </c>
      <c r="AE134" s="177" t="s">
        <v>1390</v>
      </c>
      <c r="AF134" s="292" t="s">
        <v>3346</v>
      </c>
      <c r="AH134" s="177" t="s">
        <v>719</v>
      </c>
      <c r="AI134" s="292" t="s">
        <v>3344</v>
      </c>
      <c r="AK134" s="3" t="s">
        <v>3600</v>
      </c>
      <c r="AM134" s="3" t="s">
        <v>3587</v>
      </c>
      <c r="AO134" s="106"/>
    </row>
    <row r="135" spans="6:41" x14ac:dyDescent="0.25">
      <c r="F135" s="35" t="s">
        <v>1614</v>
      </c>
      <c r="G135" s="46" t="s">
        <v>7</v>
      </c>
      <c r="H135" s="47" t="s">
        <v>940</v>
      </c>
      <c r="L135" s="3" t="s">
        <v>163</v>
      </c>
      <c r="M135" s="3">
        <v>3452106</v>
      </c>
      <c r="N135" s="3" t="s">
        <v>166</v>
      </c>
      <c r="O135" s="94">
        <v>5585001</v>
      </c>
      <c r="Q135" s="3" t="s">
        <v>186</v>
      </c>
      <c r="R135" s="3" t="s">
        <v>191</v>
      </c>
      <c r="S135" s="3" t="s">
        <v>186</v>
      </c>
      <c r="T135" s="94">
        <v>5552306</v>
      </c>
      <c r="U135" s="3" t="s">
        <v>191</v>
      </c>
      <c r="V135" s="94">
        <v>5586301</v>
      </c>
      <c r="W135" s="93"/>
      <c r="AB135" s="177" t="s">
        <v>1391</v>
      </c>
      <c r="AC135" s="6" t="s">
        <v>3347</v>
      </c>
      <c r="AE135" s="177" t="s">
        <v>1391</v>
      </c>
      <c r="AF135" s="292" t="s">
        <v>3347</v>
      </c>
      <c r="AH135" s="177" t="s">
        <v>272</v>
      </c>
      <c r="AI135" s="292" t="s">
        <v>3345</v>
      </c>
      <c r="AK135" s="3" t="s">
        <v>3602</v>
      </c>
      <c r="AM135" s="3" t="s">
        <v>3021</v>
      </c>
      <c r="AO135" s="106"/>
    </row>
    <row r="136" spans="6:41" x14ac:dyDescent="0.25">
      <c r="F136" s="35" t="s">
        <v>1614</v>
      </c>
      <c r="G136" s="46" t="s">
        <v>7</v>
      </c>
      <c r="H136" s="47" t="s">
        <v>941</v>
      </c>
      <c r="L136" s="3" t="s">
        <v>164</v>
      </c>
      <c r="M136" s="3">
        <v>5458202</v>
      </c>
      <c r="N136" s="3" t="s">
        <v>167</v>
      </c>
      <c r="O136" s="94">
        <v>5554104</v>
      </c>
      <c r="Q136" s="3" t="s">
        <v>163</v>
      </c>
      <c r="R136" s="3" t="s">
        <v>166</v>
      </c>
      <c r="S136" s="3" t="s">
        <v>163</v>
      </c>
      <c r="T136" s="94">
        <v>3452106</v>
      </c>
      <c r="U136" s="3" t="s">
        <v>166</v>
      </c>
      <c r="V136" s="94">
        <v>5585001</v>
      </c>
      <c r="W136" s="93"/>
      <c r="AB136" s="177" t="s">
        <v>274</v>
      </c>
      <c r="AC136" s="6" t="s">
        <v>3348</v>
      </c>
      <c r="AE136" s="177" t="s">
        <v>274</v>
      </c>
      <c r="AF136" s="292" t="s">
        <v>3348</v>
      </c>
      <c r="AH136" s="177" t="s">
        <v>1390</v>
      </c>
      <c r="AI136" s="292" t="s">
        <v>3346</v>
      </c>
      <c r="AK136" s="3" t="s">
        <v>3175</v>
      </c>
      <c r="AM136" s="3" t="s">
        <v>3588</v>
      </c>
      <c r="AO136" s="106"/>
    </row>
    <row r="137" spans="6:41" x14ac:dyDescent="0.25">
      <c r="H137" s="38" t="s">
        <v>8</v>
      </c>
      <c r="L137" s="3" t="s">
        <v>189</v>
      </c>
      <c r="M137" s="3">
        <v>5486302</v>
      </c>
      <c r="N137" s="3" t="s">
        <v>168</v>
      </c>
      <c r="O137" s="94">
        <v>3454103</v>
      </c>
      <c r="Q137" s="3" t="s">
        <v>164</v>
      </c>
      <c r="R137" s="3" t="s">
        <v>167</v>
      </c>
      <c r="S137" s="3" t="s">
        <v>164</v>
      </c>
      <c r="T137" s="94">
        <v>5458202</v>
      </c>
      <c r="U137" s="3" t="s">
        <v>167</v>
      </c>
      <c r="V137" s="94">
        <v>5554104</v>
      </c>
      <c r="W137" s="93"/>
      <c r="AB137" s="177" t="s">
        <v>1392</v>
      </c>
      <c r="AC137" s="6" t="s">
        <v>3349</v>
      </c>
      <c r="AE137" s="177" t="s">
        <v>1392</v>
      </c>
      <c r="AF137" s="292" t="s">
        <v>3349</v>
      </c>
      <c r="AH137" s="177" t="s">
        <v>1391</v>
      </c>
      <c r="AI137" s="292" t="s">
        <v>3347</v>
      </c>
      <c r="AK137" s="3" t="s">
        <v>3201</v>
      </c>
      <c r="AM137" s="3" t="s">
        <v>3589</v>
      </c>
      <c r="AO137" s="106"/>
    </row>
    <row r="138" spans="6:41" x14ac:dyDescent="0.25">
      <c r="F138" s="35" t="s">
        <v>1614</v>
      </c>
      <c r="G138" s="46" t="s">
        <v>8</v>
      </c>
      <c r="H138" s="49" t="s">
        <v>942</v>
      </c>
      <c r="L138" s="3" t="s">
        <v>191</v>
      </c>
      <c r="M138" s="3">
        <v>5586301</v>
      </c>
      <c r="N138" s="3" t="s">
        <v>169</v>
      </c>
      <c r="O138" s="94">
        <v>3458205</v>
      </c>
      <c r="Q138" s="3" t="s">
        <v>189</v>
      </c>
      <c r="R138" s="3" t="s">
        <v>168</v>
      </c>
      <c r="S138" s="3" t="s">
        <v>189</v>
      </c>
      <c r="T138" s="94">
        <v>5486302</v>
      </c>
      <c r="U138" s="3" t="s">
        <v>168</v>
      </c>
      <c r="V138" s="94">
        <v>3454103</v>
      </c>
      <c r="W138" s="93"/>
      <c r="AB138" s="177" t="s">
        <v>1975</v>
      </c>
      <c r="AC138" s="6" t="s">
        <v>3350</v>
      </c>
      <c r="AE138" s="177" t="s">
        <v>1975</v>
      </c>
      <c r="AF138" s="292" t="s">
        <v>3350</v>
      </c>
      <c r="AH138" s="177" t="s">
        <v>274</v>
      </c>
      <c r="AI138" s="292" t="s">
        <v>3348</v>
      </c>
      <c r="AK138" s="3" t="s">
        <v>3177</v>
      </c>
      <c r="AM138" s="3" t="s">
        <v>3022</v>
      </c>
      <c r="AO138" s="106"/>
    </row>
    <row r="139" spans="6:41" x14ac:dyDescent="0.25">
      <c r="F139" s="35" t="s">
        <v>1614</v>
      </c>
      <c r="G139" s="46" t="s">
        <v>8</v>
      </c>
      <c r="H139" s="47" t="s">
        <v>943</v>
      </c>
      <c r="L139" s="3" t="s">
        <v>166</v>
      </c>
      <c r="M139" s="3">
        <v>5585001</v>
      </c>
      <c r="N139" s="3" t="s">
        <v>170</v>
      </c>
      <c r="O139" s="94">
        <v>3558203</v>
      </c>
      <c r="Q139" s="3" t="s">
        <v>191</v>
      </c>
      <c r="R139" s="3" t="s">
        <v>169</v>
      </c>
      <c r="S139" s="3" t="s">
        <v>191</v>
      </c>
      <c r="T139" s="94">
        <v>5586301</v>
      </c>
      <c r="U139" s="3" t="s">
        <v>169</v>
      </c>
      <c r="V139" s="94">
        <v>3458205</v>
      </c>
      <c r="W139" s="93"/>
      <c r="AB139" s="177" t="s">
        <v>1393</v>
      </c>
      <c r="AC139" s="6" t="s">
        <v>3351</v>
      </c>
      <c r="AE139" s="177" t="s">
        <v>1393</v>
      </c>
      <c r="AF139" s="292" t="s">
        <v>3351</v>
      </c>
      <c r="AH139" s="177" t="s">
        <v>1392</v>
      </c>
      <c r="AI139" s="292" t="s">
        <v>3349</v>
      </c>
      <c r="AK139" s="3" t="s">
        <v>3486</v>
      </c>
      <c r="AM139" s="3" t="s">
        <v>3591</v>
      </c>
      <c r="AO139" s="106"/>
    </row>
    <row r="140" spans="6:41" x14ac:dyDescent="0.25">
      <c r="F140" s="35" t="s">
        <v>1614</v>
      </c>
      <c r="G140" s="46" t="s">
        <v>8</v>
      </c>
      <c r="H140" s="49" t="s">
        <v>944</v>
      </c>
      <c r="L140" s="3" t="s">
        <v>167</v>
      </c>
      <c r="M140" s="3">
        <v>5554104</v>
      </c>
      <c r="N140" s="3" t="s">
        <v>171</v>
      </c>
      <c r="O140" s="94">
        <v>5481201</v>
      </c>
      <c r="Q140" s="3" t="s">
        <v>166</v>
      </c>
      <c r="R140" s="3" t="s">
        <v>170</v>
      </c>
      <c r="S140" s="3" t="s">
        <v>166</v>
      </c>
      <c r="T140" s="94">
        <v>5585001</v>
      </c>
      <c r="U140" s="3" t="s">
        <v>170</v>
      </c>
      <c r="V140" s="94">
        <v>3558203</v>
      </c>
      <c r="W140" s="93"/>
      <c r="AB140" s="177" t="s">
        <v>1394</v>
      </c>
      <c r="AC140" s="6" t="s">
        <v>3352</v>
      </c>
      <c r="AE140" s="177" t="s">
        <v>1394</v>
      </c>
      <c r="AF140" s="292" t="s">
        <v>3352</v>
      </c>
      <c r="AH140" s="177" t="s">
        <v>1975</v>
      </c>
      <c r="AI140" s="292" t="s">
        <v>3350</v>
      </c>
      <c r="AK140" s="3" t="s">
        <v>3488</v>
      </c>
      <c r="AM140" s="3" t="s">
        <v>3592</v>
      </c>
      <c r="AO140" s="106"/>
    </row>
    <row r="141" spans="6:41" x14ac:dyDescent="0.25">
      <c r="F141" s="35" t="s">
        <v>1614</v>
      </c>
      <c r="G141" s="46" t="s">
        <v>8</v>
      </c>
      <c r="H141" s="47" t="s">
        <v>945</v>
      </c>
      <c r="L141" s="3" t="s">
        <v>168</v>
      </c>
      <c r="M141" s="3">
        <v>3454103</v>
      </c>
      <c r="N141" s="3" t="s">
        <v>197</v>
      </c>
      <c r="O141" s="94">
        <v>5434701</v>
      </c>
      <c r="Q141" s="3" t="s">
        <v>167</v>
      </c>
      <c r="R141" s="3" t="s">
        <v>171</v>
      </c>
      <c r="S141" s="3" t="s">
        <v>167</v>
      </c>
      <c r="T141" s="94">
        <v>5554104</v>
      </c>
      <c r="U141" s="3" t="s">
        <v>171</v>
      </c>
      <c r="V141" s="94">
        <v>5481201</v>
      </c>
      <c r="W141" s="93"/>
      <c r="AB141" s="177" t="s">
        <v>1395</v>
      </c>
      <c r="AC141" s="6" t="s">
        <v>3353</v>
      </c>
      <c r="AE141" s="177" t="s">
        <v>1395</v>
      </c>
      <c r="AF141" s="292" t="s">
        <v>3353</v>
      </c>
      <c r="AH141" s="177" t="s">
        <v>1393</v>
      </c>
      <c r="AI141" s="292" t="s">
        <v>3351</v>
      </c>
      <c r="AK141" s="3" t="s">
        <v>3742</v>
      </c>
      <c r="AM141" s="3" t="s">
        <v>3005</v>
      </c>
      <c r="AO141" s="106"/>
    </row>
    <row r="142" spans="6:41" x14ac:dyDescent="0.25">
      <c r="F142" s="35" t="s">
        <v>1614</v>
      </c>
      <c r="G142" s="46" t="s">
        <v>8</v>
      </c>
      <c r="H142" s="47" t="s">
        <v>3434</v>
      </c>
      <c r="L142" s="3" t="s">
        <v>169</v>
      </c>
      <c r="M142" s="3">
        <v>3458205</v>
      </c>
      <c r="N142" s="3" t="s">
        <v>173</v>
      </c>
      <c r="O142" s="94">
        <v>5448103</v>
      </c>
      <c r="Q142" s="3" t="s">
        <v>168</v>
      </c>
      <c r="R142" s="3" t="s">
        <v>197</v>
      </c>
      <c r="S142" s="3" t="s">
        <v>168</v>
      </c>
      <c r="T142" s="94">
        <v>3454103</v>
      </c>
      <c r="U142" s="3" t="s">
        <v>197</v>
      </c>
      <c r="V142" s="94">
        <v>5434701</v>
      </c>
      <c r="W142" s="93"/>
      <c r="AB142" s="177" t="s">
        <v>1396</v>
      </c>
      <c r="AC142" s="6" t="s">
        <v>3354</v>
      </c>
      <c r="AE142" s="177" t="s">
        <v>1396</v>
      </c>
      <c r="AF142" s="292" t="s">
        <v>3354</v>
      </c>
      <c r="AH142" s="177" t="s">
        <v>1394</v>
      </c>
      <c r="AI142" s="292" t="s">
        <v>3352</v>
      </c>
      <c r="AK142" s="3" t="s">
        <v>2950</v>
      </c>
      <c r="AM142" s="3" t="s">
        <v>3006</v>
      </c>
      <c r="AO142" s="106"/>
    </row>
    <row r="143" spans="6:41" x14ac:dyDescent="0.25">
      <c r="F143" s="35" t="s">
        <v>1614</v>
      </c>
      <c r="G143" s="46" t="s">
        <v>8</v>
      </c>
      <c r="H143" s="47" t="s">
        <v>946</v>
      </c>
      <c r="L143" s="3" t="s">
        <v>170</v>
      </c>
      <c r="M143" s="3">
        <v>3558203</v>
      </c>
      <c r="N143" s="3" t="s">
        <v>651</v>
      </c>
      <c r="O143" s="94">
        <v>5548102</v>
      </c>
      <c r="Q143" s="3" t="s">
        <v>169</v>
      </c>
      <c r="R143" s="3" t="s">
        <v>173</v>
      </c>
      <c r="S143" s="3" t="s">
        <v>169</v>
      </c>
      <c r="T143" s="94">
        <v>3458205</v>
      </c>
      <c r="U143" s="3" t="s">
        <v>173</v>
      </c>
      <c r="V143" s="94">
        <v>5448103</v>
      </c>
      <c r="W143" s="93"/>
      <c r="AB143" s="177" t="s">
        <v>285</v>
      </c>
      <c r="AC143" s="6" t="s">
        <v>3355</v>
      </c>
      <c r="AE143" s="177" t="s">
        <v>285</v>
      </c>
      <c r="AF143" s="292" t="s">
        <v>3355</v>
      </c>
      <c r="AH143" s="177" t="s">
        <v>1395</v>
      </c>
      <c r="AI143" s="292" t="s">
        <v>3353</v>
      </c>
      <c r="AK143" s="3" t="s">
        <v>3604</v>
      </c>
      <c r="AM143" s="3" t="s">
        <v>3593</v>
      </c>
      <c r="AO143" s="106"/>
    </row>
    <row r="144" spans="6:41" x14ac:dyDescent="0.25">
      <c r="F144" s="35" t="s">
        <v>1614</v>
      </c>
      <c r="G144" s="46" t="s">
        <v>8</v>
      </c>
      <c r="H144" s="49" t="s">
        <v>947</v>
      </c>
      <c r="L144" s="3" t="s">
        <v>171</v>
      </c>
      <c r="M144" s="3">
        <v>5481201</v>
      </c>
      <c r="N144" s="3" t="s">
        <v>652</v>
      </c>
      <c r="O144" s="94">
        <v>5448106</v>
      </c>
      <c r="Q144" s="3" t="s">
        <v>170</v>
      </c>
      <c r="R144" s="3" t="s">
        <v>200</v>
      </c>
      <c r="S144" s="3" t="s">
        <v>170</v>
      </c>
      <c r="T144" s="94">
        <v>3558203</v>
      </c>
      <c r="U144" s="3" t="s">
        <v>200</v>
      </c>
      <c r="V144" s="94">
        <v>5548102</v>
      </c>
      <c r="W144" s="93"/>
      <c r="AB144" s="177" t="s">
        <v>1397</v>
      </c>
      <c r="AC144" s="6" t="s">
        <v>3356</v>
      </c>
      <c r="AE144" s="177" t="s">
        <v>1397</v>
      </c>
      <c r="AF144" s="292" t="s">
        <v>3356</v>
      </c>
      <c r="AH144" s="177" t="s">
        <v>1396</v>
      </c>
      <c r="AI144" s="292" t="s">
        <v>3354</v>
      </c>
      <c r="AK144" s="3" t="s">
        <v>3605</v>
      </c>
      <c r="AM144" s="3" t="s">
        <v>3007</v>
      </c>
      <c r="AO144" s="106"/>
    </row>
    <row r="145" spans="6:41" x14ac:dyDescent="0.25">
      <c r="F145" s="35" t="s">
        <v>1614</v>
      </c>
      <c r="G145" s="46" t="s">
        <v>8</v>
      </c>
      <c r="H145" s="47" t="s">
        <v>948</v>
      </c>
      <c r="L145" s="3" t="s">
        <v>197</v>
      </c>
      <c r="M145" s="3">
        <v>5434701</v>
      </c>
      <c r="N145" s="3" t="s">
        <v>175</v>
      </c>
      <c r="O145" s="94">
        <v>3452104</v>
      </c>
      <c r="Q145" s="3" t="s">
        <v>171</v>
      </c>
      <c r="R145" s="3" t="s">
        <v>201</v>
      </c>
      <c r="S145" s="3" t="s">
        <v>171</v>
      </c>
      <c r="T145" s="94">
        <v>5481201</v>
      </c>
      <c r="U145" s="3" t="s">
        <v>201</v>
      </c>
      <c r="V145" s="94">
        <v>5448106</v>
      </c>
      <c r="W145" s="93"/>
      <c r="AB145" s="177" t="s">
        <v>289</v>
      </c>
      <c r="AC145" s="6" t="s">
        <v>3357</v>
      </c>
      <c r="AE145" s="177" t="s">
        <v>289</v>
      </c>
      <c r="AF145" s="292" t="s">
        <v>3357</v>
      </c>
      <c r="AH145" s="177" t="s">
        <v>285</v>
      </c>
      <c r="AI145" s="292" t="s">
        <v>3355</v>
      </c>
      <c r="AK145" s="3" t="s">
        <v>2951</v>
      </c>
      <c r="AM145" s="3" t="s">
        <v>3104</v>
      </c>
      <c r="AO145" s="106"/>
    </row>
    <row r="146" spans="6:41" x14ac:dyDescent="0.25">
      <c r="F146" s="35" t="s">
        <v>1614</v>
      </c>
      <c r="G146" s="46" t="s">
        <v>8</v>
      </c>
      <c r="H146" s="47" t="s">
        <v>949</v>
      </c>
      <c r="L146" s="3" t="s">
        <v>173</v>
      </c>
      <c r="M146" s="3">
        <v>5448103</v>
      </c>
      <c r="N146" s="3" t="s">
        <v>177</v>
      </c>
      <c r="O146" s="94">
        <v>3454304</v>
      </c>
      <c r="Q146" s="3" t="s">
        <v>197</v>
      </c>
      <c r="R146" s="3" t="s">
        <v>175</v>
      </c>
      <c r="S146" s="3" t="s">
        <v>197</v>
      </c>
      <c r="T146" s="94">
        <v>5434701</v>
      </c>
      <c r="U146" s="3" t="s">
        <v>175</v>
      </c>
      <c r="V146" s="94">
        <v>3452104</v>
      </c>
      <c r="W146" s="93"/>
      <c r="AB146" s="177" t="s">
        <v>1398</v>
      </c>
      <c r="AC146" s="6" t="s">
        <v>3358</v>
      </c>
      <c r="AE146" s="177" t="s">
        <v>1398</v>
      </c>
      <c r="AF146" s="292" t="s">
        <v>3358</v>
      </c>
      <c r="AH146" s="177" t="s">
        <v>1397</v>
      </c>
      <c r="AI146" s="292" t="s">
        <v>3356</v>
      </c>
      <c r="AK146" s="3" t="s">
        <v>2952</v>
      </c>
      <c r="AM146" s="3" t="s">
        <v>2935</v>
      </c>
      <c r="AO146" s="106"/>
    </row>
    <row r="147" spans="6:41" x14ac:dyDescent="0.25">
      <c r="F147" s="35" t="s">
        <v>1614</v>
      </c>
      <c r="G147" s="46" t="s">
        <v>8</v>
      </c>
      <c r="H147" s="47" t="s">
        <v>950</v>
      </c>
      <c r="L147" s="3" t="s">
        <v>200</v>
      </c>
      <c r="M147" s="3">
        <v>5548102</v>
      </c>
      <c r="N147" s="3" t="s">
        <v>204</v>
      </c>
      <c r="O147" s="94">
        <v>5434603</v>
      </c>
      <c r="Q147" s="3" t="s">
        <v>173</v>
      </c>
      <c r="R147" s="3" t="s">
        <v>177</v>
      </c>
      <c r="S147" s="3" t="s">
        <v>173</v>
      </c>
      <c r="T147" s="94">
        <v>5448103</v>
      </c>
      <c r="U147" s="3" t="s">
        <v>177</v>
      </c>
      <c r="V147" s="94">
        <v>3454304</v>
      </c>
      <c r="W147" s="93"/>
      <c r="AB147" s="177" t="s">
        <v>1399</v>
      </c>
      <c r="AC147" s="6" t="s">
        <v>3359</v>
      </c>
      <c r="AE147" s="177" t="s">
        <v>1399</v>
      </c>
      <c r="AF147" s="292" t="s">
        <v>3359</v>
      </c>
      <c r="AH147" s="177" t="s">
        <v>289</v>
      </c>
      <c r="AI147" s="292" t="s">
        <v>3357</v>
      </c>
      <c r="AK147" s="3" t="s">
        <v>2953</v>
      </c>
      <c r="AM147" s="3" t="s">
        <v>2930</v>
      </c>
      <c r="AO147" s="106"/>
    </row>
    <row r="148" spans="6:41" x14ac:dyDescent="0.25">
      <c r="F148" s="35" t="s">
        <v>1614</v>
      </c>
      <c r="G148" s="46" t="s">
        <v>8</v>
      </c>
      <c r="H148" s="49" t="s">
        <v>3429</v>
      </c>
      <c r="L148" s="3" t="s">
        <v>201</v>
      </c>
      <c r="M148" s="3">
        <v>5448106</v>
      </c>
      <c r="N148" s="3" t="s">
        <v>179</v>
      </c>
      <c r="O148" s="94">
        <v>5448201</v>
      </c>
      <c r="Q148" s="3" t="s">
        <v>200</v>
      </c>
      <c r="R148" s="3" t="s">
        <v>204</v>
      </c>
      <c r="S148" s="3" t="s">
        <v>200</v>
      </c>
      <c r="T148" s="94">
        <v>5548102</v>
      </c>
      <c r="U148" s="3" t="s">
        <v>204</v>
      </c>
      <c r="V148" s="94">
        <v>5434603</v>
      </c>
      <c r="W148" s="93"/>
      <c r="AB148" s="177" t="s">
        <v>1400</v>
      </c>
      <c r="AC148" s="6" t="s">
        <v>3360</v>
      </c>
      <c r="AE148" s="177" t="s">
        <v>1400</v>
      </c>
      <c r="AF148" s="292" t="s">
        <v>3360</v>
      </c>
      <c r="AH148" s="177" t="s">
        <v>1398</v>
      </c>
      <c r="AI148" s="292" t="s">
        <v>3358</v>
      </c>
      <c r="AK148" s="3" t="s">
        <v>3606</v>
      </c>
      <c r="AM148" s="3" t="s">
        <v>2937</v>
      </c>
      <c r="AO148" s="106"/>
    </row>
    <row r="149" spans="6:41" x14ac:dyDescent="0.25">
      <c r="F149" s="35" t="s">
        <v>1614</v>
      </c>
      <c r="G149" s="46" t="s">
        <v>8</v>
      </c>
      <c r="H149" s="49" t="s">
        <v>951</v>
      </c>
      <c r="L149" s="3" t="s">
        <v>175</v>
      </c>
      <c r="M149" s="3">
        <v>3452104</v>
      </c>
      <c r="N149" s="3" t="s">
        <v>180</v>
      </c>
      <c r="O149" s="94">
        <v>3452503</v>
      </c>
      <c r="Q149" s="3" t="s">
        <v>201</v>
      </c>
      <c r="R149" s="3" t="s">
        <v>179</v>
      </c>
      <c r="S149" s="3" t="s">
        <v>201</v>
      </c>
      <c r="T149" s="94">
        <v>5448106</v>
      </c>
      <c r="U149" s="3" t="s">
        <v>179</v>
      </c>
      <c r="V149" s="94">
        <v>5448201</v>
      </c>
      <c r="W149" s="93"/>
      <c r="AB149" s="177" t="s">
        <v>1982</v>
      </c>
      <c r="AC149" s="6" t="s">
        <v>3361</v>
      </c>
      <c r="AE149" s="177" t="s">
        <v>1982</v>
      </c>
      <c r="AF149" s="292" t="s">
        <v>3361</v>
      </c>
      <c r="AH149" s="177" t="s">
        <v>1399</v>
      </c>
      <c r="AI149" s="292" t="s">
        <v>3359</v>
      </c>
      <c r="AK149" s="3" t="s">
        <v>3607</v>
      </c>
      <c r="AM149" s="3" t="s">
        <v>2931</v>
      </c>
      <c r="AO149" s="106"/>
    </row>
    <row r="150" spans="6:41" x14ac:dyDescent="0.25">
      <c r="F150" s="35" t="s">
        <v>1614</v>
      </c>
      <c r="G150" s="46" t="s">
        <v>8</v>
      </c>
      <c r="H150" s="49" t="s">
        <v>952</v>
      </c>
      <c r="L150" s="3" t="s">
        <v>177</v>
      </c>
      <c r="M150" s="3">
        <v>3454304</v>
      </c>
      <c r="N150" s="3" t="s">
        <v>181</v>
      </c>
      <c r="O150" s="94">
        <v>3452107</v>
      </c>
      <c r="Q150" s="3" t="s">
        <v>175</v>
      </c>
      <c r="R150" s="3" t="s">
        <v>180</v>
      </c>
      <c r="S150" s="3" t="s">
        <v>175</v>
      </c>
      <c r="T150" s="94">
        <v>3452104</v>
      </c>
      <c r="U150" s="3" t="s">
        <v>180</v>
      </c>
      <c r="V150" s="94">
        <v>3452503</v>
      </c>
      <c r="W150" s="93"/>
      <c r="AB150" s="177" t="s">
        <v>1402</v>
      </c>
      <c r="AC150" s="6" t="s">
        <v>3362</v>
      </c>
      <c r="AE150" s="177" t="s">
        <v>1402</v>
      </c>
      <c r="AF150" s="292" t="s">
        <v>3362</v>
      </c>
      <c r="AH150" s="177" t="s">
        <v>1400</v>
      </c>
      <c r="AI150" s="292" t="s">
        <v>3360</v>
      </c>
      <c r="AK150" s="3" t="s">
        <v>3608</v>
      </c>
      <c r="AM150" s="3" t="s">
        <v>2932</v>
      </c>
      <c r="AO150" s="106"/>
    </row>
    <row r="151" spans="6:41" x14ac:dyDescent="0.25">
      <c r="H151" s="38" t="s">
        <v>9</v>
      </c>
      <c r="L151" s="3" t="s">
        <v>204</v>
      </c>
      <c r="M151" s="3">
        <v>5434603</v>
      </c>
      <c r="N151" s="3" t="s">
        <v>207</v>
      </c>
      <c r="O151" s="94">
        <v>5552307</v>
      </c>
      <c r="Q151" s="3" t="s">
        <v>177</v>
      </c>
      <c r="R151" s="3" t="s">
        <v>181</v>
      </c>
      <c r="S151" s="3" t="s">
        <v>177</v>
      </c>
      <c r="T151" s="94">
        <v>3454304</v>
      </c>
      <c r="U151" s="3" t="s">
        <v>181</v>
      </c>
      <c r="V151" s="94">
        <v>3452107</v>
      </c>
      <c r="W151" s="93"/>
      <c r="AB151" s="177" t="s">
        <v>1403</v>
      </c>
      <c r="AC151" s="6" t="s">
        <v>3363</v>
      </c>
      <c r="AE151" s="177" t="s">
        <v>1403</v>
      </c>
      <c r="AF151" s="292" t="s">
        <v>3363</v>
      </c>
      <c r="AH151" s="177" t="s">
        <v>1401</v>
      </c>
      <c r="AI151" s="292" t="s">
        <v>3361</v>
      </c>
      <c r="AK151" s="3" t="s">
        <v>3609</v>
      </c>
      <c r="AM151" s="3" t="s">
        <v>3549</v>
      </c>
      <c r="AO151" s="106"/>
    </row>
    <row r="152" spans="6:41" x14ac:dyDescent="0.25">
      <c r="F152" s="35" t="s">
        <v>1614</v>
      </c>
      <c r="G152" s="46" t="s">
        <v>9</v>
      </c>
      <c r="H152" s="49" t="s">
        <v>953</v>
      </c>
      <c r="L152" s="3" t="s">
        <v>179</v>
      </c>
      <c r="M152" s="3">
        <v>5448201</v>
      </c>
      <c r="N152" s="3" t="s">
        <v>182</v>
      </c>
      <c r="O152" s="94">
        <v>3452504</v>
      </c>
      <c r="Q152" s="3" t="s">
        <v>204</v>
      </c>
      <c r="R152" s="3" t="s">
        <v>207</v>
      </c>
      <c r="S152" s="3" t="s">
        <v>204</v>
      </c>
      <c r="T152" s="94">
        <v>5434603</v>
      </c>
      <c r="U152" s="3" t="s">
        <v>207</v>
      </c>
      <c r="V152" s="94">
        <v>5552307</v>
      </c>
      <c r="W152" s="93"/>
      <c r="AB152" s="177" t="s">
        <v>1404</v>
      </c>
      <c r="AC152" s="6" t="s">
        <v>3364</v>
      </c>
      <c r="AE152" s="177" t="s">
        <v>1404</v>
      </c>
      <c r="AF152" s="292" t="s">
        <v>3364</v>
      </c>
      <c r="AH152" s="177" t="s">
        <v>1402</v>
      </c>
      <c r="AI152" s="292" t="s">
        <v>3362</v>
      </c>
      <c r="AK152" s="3" t="s">
        <v>2878</v>
      </c>
      <c r="AM152" s="3" t="s">
        <v>2939</v>
      </c>
      <c r="AO152" s="106"/>
    </row>
    <row r="153" spans="6:41" x14ac:dyDescent="0.25">
      <c r="F153" s="35" t="s">
        <v>1614</v>
      </c>
      <c r="G153" s="46" t="s">
        <v>9</v>
      </c>
      <c r="H153" s="49" t="s">
        <v>954</v>
      </c>
      <c r="L153" s="3" t="s">
        <v>180</v>
      </c>
      <c r="M153" s="3">
        <v>3452503</v>
      </c>
      <c r="N153" s="3" t="s">
        <v>184</v>
      </c>
      <c r="O153" s="94">
        <v>3452505</v>
      </c>
      <c r="Q153" s="3" t="s">
        <v>179</v>
      </c>
      <c r="R153" s="3" t="s">
        <v>182</v>
      </c>
      <c r="S153" s="3" t="s">
        <v>179</v>
      </c>
      <c r="T153" s="94">
        <v>5448201</v>
      </c>
      <c r="U153" s="3" t="s">
        <v>182</v>
      </c>
      <c r="V153" s="94">
        <v>3452504</v>
      </c>
      <c r="W153" s="93"/>
      <c r="AB153" s="177" t="s">
        <v>1405</v>
      </c>
      <c r="AC153" s="6" t="s">
        <v>3365</v>
      </c>
      <c r="AE153" s="177" t="s">
        <v>1405</v>
      </c>
      <c r="AF153" s="292" t="s">
        <v>3365</v>
      </c>
      <c r="AH153" s="177" t="s">
        <v>1403</v>
      </c>
      <c r="AI153" s="292" t="s">
        <v>3363</v>
      </c>
      <c r="AK153" s="3" t="s">
        <v>3491</v>
      </c>
      <c r="AM153" s="3" t="s">
        <v>2919</v>
      </c>
      <c r="AO153" s="106"/>
    </row>
    <row r="154" spans="6:41" x14ac:dyDescent="0.25">
      <c r="F154" s="35" t="s">
        <v>1614</v>
      </c>
      <c r="G154" s="46" t="s">
        <v>9</v>
      </c>
      <c r="H154" s="49" t="s">
        <v>955</v>
      </c>
      <c r="L154" s="3" t="s">
        <v>181</v>
      </c>
      <c r="M154" s="3">
        <v>3452107</v>
      </c>
      <c r="N154" s="3" t="s">
        <v>210</v>
      </c>
      <c r="O154" s="94">
        <v>5521204</v>
      </c>
      <c r="Q154" s="3" t="s">
        <v>180</v>
      </c>
      <c r="R154" s="3" t="s">
        <v>184</v>
      </c>
      <c r="S154" s="3" t="s">
        <v>180</v>
      </c>
      <c r="T154" s="94">
        <v>3452503</v>
      </c>
      <c r="U154" s="3" t="s">
        <v>184</v>
      </c>
      <c r="V154" s="94">
        <v>3452505</v>
      </c>
      <c r="W154" s="93"/>
      <c r="AB154" s="177" t="s">
        <v>1406</v>
      </c>
      <c r="AC154" s="6" t="s">
        <v>3366</v>
      </c>
      <c r="AE154" s="177" t="s">
        <v>1406</v>
      </c>
      <c r="AF154" s="292" t="s">
        <v>3366</v>
      </c>
      <c r="AH154" s="177" t="s">
        <v>1404</v>
      </c>
      <c r="AI154" s="292" t="s">
        <v>3364</v>
      </c>
      <c r="AK154" s="3" t="s">
        <v>2922</v>
      </c>
      <c r="AM154" s="3" t="s">
        <v>3532</v>
      </c>
      <c r="AO154" s="106"/>
    </row>
    <row r="155" spans="6:41" x14ac:dyDescent="0.25">
      <c r="F155" s="35" t="s">
        <v>1614</v>
      </c>
      <c r="G155" s="46" t="s">
        <v>9</v>
      </c>
      <c r="H155" s="49" t="s">
        <v>956</v>
      </c>
      <c r="L155" s="3" t="s">
        <v>207</v>
      </c>
      <c r="M155" s="3">
        <v>5552307</v>
      </c>
      <c r="N155" s="3" t="s">
        <v>212</v>
      </c>
      <c r="O155" s="94">
        <v>5421204</v>
      </c>
      <c r="Q155" s="3" t="s">
        <v>181</v>
      </c>
      <c r="R155" s="3" t="s">
        <v>210</v>
      </c>
      <c r="S155" s="3" t="s">
        <v>181</v>
      </c>
      <c r="T155" s="94">
        <v>3452107</v>
      </c>
      <c r="U155" s="3" t="s">
        <v>210</v>
      </c>
      <c r="V155" s="94">
        <v>5521204</v>
      </c>
      <c r="W155" s="93"/>
      <c r="AB155" s="177" t="s">
        <v>301</v>
      </c>
      <c r="AC155" s="6" t="s">
        <v>3367</v>
      </c>
      <c r="AE155" s="177" t="s">
        <v>301</v>
      </c>
      <c r="AF155" s="292" t="s">
        <v>3367</v>
      </c>
      <c r="AH155" s="177" t="s">
        <v>1405</v>
      </c>
      <c r="AI155" s="292" t="s">
        <v>3365</v>
      </c>
      <c r="AK155" s="3" t="s">
        <v>3121</v>
      </c>
      <c r="AM155" s="3" t="s">
        <v>3556</v>
      </c>
      <c r="AO155" s="106"/>
    </row>
    <row r="156" spans="6:41" x14ac:dyDescent="0.25">
      <c r="F156" s="35" t="s">
        <v>1614</v>
      </c>
      <c r="G156" s="46" t="s">
        <v>9</v>
      </c>
      <c r="H156" s="49" t="s">
        <v>957</v>
      </c>
      <c r="L156" s="3" t="s">
        <v>182</v>
      </c>
      <c r="M156" s="3">
        <v>3452504</v>
      </c>
      <c r="N156" s="3" t="s">
        <v>214</v>
      </c>
      <c r="O156" s="94">
        <v>5484110</v>
      </c>
      <c r="Q156" s="3" t="s">
        <v>207</v>
      </c>
      <c r="R156" s="3" t="s">
        <v>212</v>
      </c>
      <c r="S156" s="3" t="s">
        <v>207</v>
      </c>
      <c r="T156" s="94">
        <v>5552307</v>
      </c>
      <c r="U156" s="3" t="s">
        <v>212</v>
      </c>
      <c r="V156" s="94">
        <v>5421204</v>
      </c>
      <c r="W156" s="93"/>
      <c r="AB156" s="177" t="s">
        <v>337</v>
      </c>
      <c r="AC156" s="6" t="s">
        <v>3368</v>
      </c>
      <c r="AE156" s="177" t="s">
        <v>337</v>
      </c>
      <c r="AF156" s="292" t="s">
        <v>3368</v>
      </c>
      <c r="AH156" s="177" t="s">
        <v>1406</v>
      </c>
      <c r="AI156" s="292" t="s">
        <v>3366</v>
      </c>
      <c r="AK156" s="3" t="s">
        <v>3744</v>
      </c>
      <c r="AM156" s="3" t="s">
        <v>3594</v>
      </c>
      <c r="AO156" s="106"/>
    </row>
    <row r="157" spans="6:41" x14ac:dyDescent="0.25">
      <c r="F157" s="35" t="s">
        <v>1614</v>
      </c>
      <c r="G157" s="46" t="s">
        <v>9</v>
      </c>
      <c r="H157" s="49" t="s">
        <v>958</v>
      </c>
      <c r="L157" s="3" t="s">
        <v>184</v>
      </c>
      <c r="M157" s="3">
        <v>3452505</v>
      </c>
      <c r="N157" s="3" t="s">
        <v>187</v>
      </c>
      <c r="O157" s="94">
        <v>5521105</v>
      </c>
      <c r="Q157" s="3" t="s">
        <v>182</v>
      </c>
      <c r="R157" s="3" t="s">
        <v>214</v>
      </c>
      <c r="S157" s="3" t="s">
        <v>182</v>
      </c>
      <c r="T157" s="94">
        <v>3452504</v>
      </c>
      <c r="U157" s="3" t="s">
        <v>214</v>
      </c>
      <c r="V157" s="94">
        <v>5484110</v>
      </c>
      <c r="W157" s="93"/>
      <c r="AB157" s="177" t="s">
        <v>1407</v>
      </c>
      <c r="AC157" s="6" t="s">
        <v>3369</v>
      </c>
      <c r="AE157" s="177" t="s">
        <v>1407</v>
      </c>
      <c r="AF157" s="292" t="s">
        <v>3369</v>
      </c>
      <c r="AH157" s="177" t="s">
        <v>301</v>
      </c>
      <c r="AI157" s="292" t="s">
        <v>3367</v>
      </c>
      <c r="AK157" s="3" t="s">
        <v>3745</v>
      </c>
      <c r="AM157" s="3" t="s">
        <v>3596</v>
      </c>
      <c r="AO157" s="106"/>
    </row>
    <row r="158" spans="6:41" x14ac:dyDescent="0.25">
      <c r="F158" s="35" t="s">
        <v>1614</v>
      </c>
      <c r="G158" s="46" t="s">
        <v>9</v>
      </c>
      <c r="H158" s="49" t="s">
        <v>959</v>
      </c>
      <c r="L158" s="3" t="s">
        <v>210</v>
      </c>
      <c r="M158" s="3">
        <v>5521204</v>
      </c>
      <c r="N158" s="3" t="s">
        <v>216</v>
      </c>
      <c r="O158" s="94">
        <v>5472506</v>
      </c>
      <c r="Q158" s="3" t="s">
        <v>184</v>
      </c>
      <c r="R158" s="3" t="s">
        <v>187</v>
      </c>
      <c r="S158" s="3" t="s">
        <v>184</v>
      </c>
      <c r="T158" s="94">
        <v>3452505</v>
      </c>
      <c r="U158" s="3" t="s">
        <v>187</v>
      </c>
      <c r="V158" s="94">
        <v>5521105</v>
      </c>
      <c r="W158" s="93"/>
      <c r="AB158" s="177" t="s">
        <v>1977</v>
      </c>
      <c r="AC158" s="6" t="s">
        <v>3370</v>
      </c>
      <c r="AE158" s="177" t="s">
        <v>1977</v>
      </c>
      <c r="AF158" s="292" t="s">
        <v>3370</v>
      </c>
      <c r="AH158" s="177" t="s">
        <v>337</v>
      </c>
      <c r="AI158" s="292" t="s">
        <v>3368</v>
      </c>
      <c r="AK158" s="3" t="s">
        <v>3141</v>
      </c>
      <c r="AM158" s="3" t="s">
        <v>3598</v>
      </c>
      <c r="AO158" s="106"/>
    </row>
    <row r="159" spans="6:41" x14ac:dyDescent="0.25">
      <c r="F159" s="35" t="s">
        <v>1614</v>
      </c>
      <c r="G159" s="46" t="s">
        <v>9</v>
      </c>
      <c r="H159" s="49" t="s">
        <v>960</v>
      </c>
      <c r="L159" s="3" t="s">
        <v>212</v>
      </c>
      <c r="M159" s="3">
        <v>5421204</v>
      </c>
      <c r="N159" s="3" t="s">
        <v>188</v>
      </c>
      <c r="O159" s="94">
        <v>3452506</v>
      </c>
      <c r="Q159" s="3" t="s">
        <v>210</v>
      </c>
      <c r="R159" s="3" t="s">
        <v>216</v>
      </c>
      <c r="S159" s="3" t="s">
        <v>210</v>
      </c>
      <c r="T159" s="94">
        <v>5521204</v>
      </c>
      <c r="U159" s="3" t="s">
        <v>216</v>
      </c>
      <c r="V159" s="94">
        <v>5472506</v>
      </c>
      <c r="W159" s="93"/>
      <c r="AB159" s="177" t="s">
        <v>304</v>
      </c>
      <c r="AC159" s="6" t="s">
        <v>3371</v>
      </c>
      <c r="AE159" s="177" t="s">
        <v>304</v>
      </c>
      <c r="AF159" s="292" t="s">
        <v>3371</v>
      </c>
      <c r="AH159" s="177" t="s">
        <v>1407</v>
      </c>
      <c r="AI159" s="292" t="s">
        <v>3369</v>
      </c>
      <c r="AK159" s="3" t="s">
        <v>3129</v>
      </c>
      <c r="AM159" s="3" t="s">
        <v>3600</v>
      </c>
      <c r="AO159" s="106"/>
    </row>
    <row r="160" spans="6:41" x14ac:dyDescent="0.25">
      <c r="F160" s="35" t="s">
        <v>1614</v>
      </c>
      <c r="G160" s="46" t="s">
        <v>9</v>
      </c>
      <c r="H160" s="49" t="s">
        <v>961</v>
      </c>
      <c r="L160" s="3" t="s">
        <v>214</v>
      </c>
      <c r="M160" s="3">
        <v>5484110</v>
      </c>
      <c r="N160" s="3" t="s">
        <v>190</v>
      </c>
      <c r="O160" s="94">
        <v>3454205</v>
      </c>
      <c r="Q160" s="3" t="s">
        <v>212</v>
      </c>
      <c r="R160" s="3" t="s">
        <v>188</v>
      </c>
      <c r="S160" s="3" t="s">
        <v>212</v>
      </c>
      <c r="T160" s="94">
        <v>5421204</v>
      </c>
      <c r="U160" s="3" t="s">
        <v>188</v>
      </c>
      <c r="V160" s="94">
        <v>3452506</v>
      </c>
      <c r="W160" s="93"/>
      <c r="AB160" s="177" t="s">
        <v>1408</v>
      </c>
      <c r="AC160" s="6" t="s">
        <v>3372</v>
      </c>
      <c r="AE160" s="177" t="s">
        <v>1408</v>
      </c>
      <c r="AF160" s="292" t="s">
        <v>3372</v>
      </c>
      <c r="AH160" s="177" t="s">
        <v>1977</v>
      </c>
      <c r="AI160" s="292" t="s">
        <v>3370</v>
      </c>
      <c r="AK160" s="3" t="s">
        <v>3746</v>
      </c>
      <c r="AM160" s="3" t="s">
        <v>3602</v>
      </c>
      <c r="AO160" s="106"/>
    </row>
    <row r="161" spans="6:41" x14ac:dyDescent="0.25">
      <c r="F161" s="35" t="s">
        <v>1614</v>
      </c>
      <c r="G161" s="46" t="s">
        <v>9</v>
      </c>
      <c r="H161" s="49" t="s">
        <v>962</v>
      </c>
      <c r="L161" s="3" t="s">
        <v>187</v>
      </c>
      <c r="M161" s="3">
        <v>5521105</v>
      </c>
      <c r="N161" s="3" t="s">
        <v>192</v>
      </c>
      <c r="O161" s="94">
        <v>3421102</v>
      </c>
      <c r="Q161" s="3" t="s">
        <v>214</v>
      </c>
      <c r="R161" s="3" t="s">
        <v>190</v>
      </c>
      <c r="S161" s="3" t="s">
        <v>214</v>
      </c>
      <c r="T161" s="94">
        <v>5484110</v>
      </c>
      <c r="U161" s="3" t="s">
        <v>190</v>
      </c>
      <c r="V161" s="94">
        <v>3454205</v>
      </c>
      <c r="W161" s="93"/>
      <c r="AB161" s="177" t="s">
        <v>1409</v>
      </c>
      <c r="AC161" s="6" t="s">
        <v>3373</v>
      </c>
      <c r="AE161" s="177" t="s">
        <v>1409</v>
      </c>
      <c r="AF161" s="292" t="s">
        <v>3373</v>
      </c>
      <c r="AH161" s="177" t="s">
        <v>304</v>
      </c>
      <c r="AI161" s="292" t="s">
        <v>3371</v>
      </c>
      <c r="AK161" s="3" t="s">
        <v>3139</v>
      </c>
      <c r="AM161" s="3" t="s">
        <v>3175</v>
      </c>
      <c r="AO161" s="106"/>
    </row>
    <row r="162" spans="6:41" x14ac:dyDescent="0.25">
      <c r="F162" s="35" t="s">
        <v>1614</v>
      </c>
      <c r="G162" s="46" t="s">
        <v>9</v>
      </c>
      <c r="H162" s="49" t="s">
        <v>963</v>
      </c>
      <c r="L162" s="3" t="s">
        <v>216</v>
      </c>
      <c r="M162" s="3">
        <v>5472506</v>
      </c>
      <c r="N162" s="3" t="s">
        <v>193</v>
      </c>
      <c r="O162" s="94">
        <v>5421105</v>
      </c>
      <c r="Q162" s="3" t="s">
        <v>187</v>
      </c>
      <c r="R162" s="3" t="s">
        <v>192</v>
      </c>
      <c r="S162" s="3" t="s">
        <v>187</v>
      </c>
      <c r="T162" s="94">
        <v>5521105</v>
      </c>
      <c r="U162" s="3" t="s">
        <v>192</v>
      </c>
      <c r="V162" s="94">
        <v>3421102</v>
      </c>
      <c r="W162" s="93"/>
      <c r="AB162" s="177" t="s">
        <v>310</v>
      </c>
      <c r="AC162" s="6" t="s">
        <v>3374</v>
      </c>
      <c r="AE162" s="177" t="s">
        <v>310</v>
      </c>
      <c r="AF162" s="292" t="s">
        <v>3374</v>
      </c>
      <c r="AH162" s="177" t="s">
        <v>1408</v>
      </c>
      <c r="AI162" s="292" t="s">
        <v>3372</v>
      </c>
      <c r="AK162" s="3" t="s">
        <v>3747</v>
      </c>
      <c r="AM162" s="3" t="s">
        <v>3201</v>
      </c>
      <c r="AO162" s="106"/>
    </row>
    <row r="163" spans="6:41" x14ac:dyDescent="0.25">
      <c r="F163" s="35" t="s">
        <v>1614</v>
      </c>
      <c r="G163" s="46" t="s">
        <v>9</v>
      </c>
      <c r="H163" s="49" t="s">
        <v>964</v>
      </c>
      <c r="L163" s="3" t="s">
        <v>188</v>
      </c>
      <c r="M163" s="3">
        <v>3452506</v>
      </c>
      <c r="N163" s="3" t="s">
        <v>219</v>
      </c>
      <c r="O163" s="94">
        <v>5434102</v>
      </c>
      <c r="Q163" s="3" t="s">
        <v>216</v>
      </c>
      <c r="R163" s="3" t="s">
        <v>193</v>
      </c>
      <c r="S163" s="3" t="s">
        <v>216</v>
      </c>
      <c r="T163" s="94">
        <v>5472506</v>
      </c>
      <c r="U163" s="3" t="s">
        <v>193</v>
      </c>
      <c r="V163" s="94">
        <v>5421105</v>
      </c>
      <c r="W163" s="93"/>
      <c r="AB163" s="177" t="s">
        <v>1410</v>
      </c>
      <c r="AC163" s="6" t="s">
        <v>3375</v>
      </c>
      <c r="AE163" s="177" t="s">
        <v>1410</v>
      </c>
      <c r="AF163" s="292" t="s">
        <v>3375</v>
      </c>
      <c r="AH163" s="177" t="s">
        <v>1409</v>
      </c>
      <c r="AI163" s="292" t="s">
        <v>3373</v>
      </c>
      <c r="AK163" s="3" t="s">
        <v>3136</v>
      </c>
      <c r="AM163" s="3" t="s">
        <v>3177</v>
      </c>
      <c r="AO163" s="106"/>
    </row>
    <row r="164" spans="6:41" x14ac:dyDescent="0.25">
      <c r="H164" s="38" t="s">
        <v>10</v>
      </c>
      <c r="L164" s="3" t="s">
        <v>190</v>
      </c>
      <c r="M164" s="3">
        <v>3454205</v>
      </c>
      <c r="N164" s="3" t="s">
        <v>194</v>
      </c>
      <c r="O164" s="94">
        <v>5434101</v>
      </c>
      <c r="Q164" s="3" t="s">
        <v>188</v>
      </c>
      <c r="R164" s="3" t="s">
        <v>219</v>
      </c>
      <c r="S164" s="3" t="s">
        <v>188</v>
      </c>
      <c r="T164" s="94">
        <v>3452506</v>
      </c>
      <c r="U164" s="3" t="s">
        <v>219</v>
      </c>
      <c r="V164" s="94">
        <v>5434102</v>
      </c>
      <c r="W164" s="93"/>
      <c r="AB164" s="177" t="s">
        <v>1411</v>
      </c>
      <c r="AC164" s="6" t="s">
        <v>3376</v>
      </c>
      <c r="AE164" s="177" t="s">
        <v>1411</v>
      </c>
      <c r="AF164" s="292" t="s">
        <v>3376</v>
      </c>
      <c r="AH164" s="177" t="s">
        <v>310</v>
      </c>
      <c r="AI164" s="292" t="s">
        <v>3374</v>
      </c>
      <c r="AK164" s="3" t="s">
        <v>3748</v>
      </c>
      <c r="AM164" s="3" t="s">
        <v>3486</v>
      </c>
      <c r="AO164" s="106"/>
    </row>
    <row r="165" spans="6:41" x14ac:dyDescent="0.25">
      <c r="F165" s="35" t="s">
        <v>1614</v>
      </c>
      <c r="G165" s="46" t="s">
        <v>10</v>
      </c>
      <c r="H165" s="47" t="s">
        <v>965</v>
      </c>
      <c r="L165" s="3" t="s">
        <v>192</v>
      </c>
      <c r="M165" s="3">
        <v>3421102</v>
      </c>
      <c r="N165" s="3" t="s">
        <v>653</v>
      </c>
      <c r="O165" s="94">
        <v>3462202</v>
      </c>
      <c r="Q165" s="3" t="s">
        <v>190</v>
      </c>
      <c r="R165" s="3" t="s">
        <v>194</v>
      </c>
      <c r="S165" s="3" t="s">
        <v>190</v>
      </c>
      <c r="T165" s="94">
        <v>3454205</v>
      </c>
      <c r="U165" s="3" t="s">
        <v>194</v>
      </c>
      <c r="V165" s="94">
        <v>5434101</v>
      </c>
      <c r="W165" s="93"/>
      <c r="AB165" s="177" t="s">
        <v>1412</v>
      </c>
      <c r="AC165" s="6" t="s">
        <v>3377</v>
      </c>
      <c r="AE165" s="177" t="s">
        <v>1412</v>
      </c>
      <c r="AF165" s="292" t="s">
        <v>3377</v>
      </c>
      <c r="AH165" s="177" t="s">
        <v>1410</v>
      </c>
      <c r="AI165" s="292" t="s">
        <v>3375</v>
      </c>
      <c r="AK165" s="3" t="s">
        <v>3749</v>
      </c>
      <c r="AM165" s="3" t="s">
        <v>3488</v>
      </c>
      <c r="AO165" s="106"/>
    </row>
    <row r="166" spans="6:41" x14ac:dyDescent="0.25">
      <c r="F166" s="35" t="s">
        <v>1614</v>
      </c>
      <c r="G166" s="46" t="s">
        <v>10</v>
      </c>
      <c r="H166" s="47" t="s">
        <v>966</v>
      </c>
      <c r="L166" s="3" t="s">
        <v>193</v>
      </c>
      <c r="M166" s="3">
        <v>5421105</v>
      </c>
      <c r="N166" s="3" t="s">
        <v>196</v>
      </c>
      <c r="O166" s="94">
        <v>5562201</v>
      </c>
      <c r="Q166" s="3" t="s">
        <v>192</v>
      </c>
      <c r="R166" s="3" t="s">
        <v>195</v>
      </c>
      <c r="S166" s="3" t="s">
        <v>192</v>
      </c>
      <c r="T166" s="94">
        <v>3421102</v>
      </c>
      <c r="U166" s="3" t="s">
        <v>195</v>
      </c>
      <c r="V166" s="94">
        <v>3462202</v>
      </c>
      <c r="W166" s="93"/>
      <c r="AB166" s="177" t="s">
        <v>1413</v>
      </c>
      <c r="AC166" s="6" t="s">
        <v>3378</v>
      </c>
      <c r="AE166" s="177" t="s">
        <v>1413</v>
      </c>
      <c r="AF166" s="292" t="s">
        <v>3378</v>
      </c>
      <c r="AH166" s="177" t="s">
        <v>1411</v>
      </c>
      <c r="AI166" s="292" t="s">
        <v>3376</v>
      </c>
      <c r="AK166" s="3" t="s">
        <v>3155</v>
      </c>
      <c r="AM166" s="3" t="s">
        <v>3742</v>
      </c>
      <c r="AO166" s="106"/>
    </row>
    <row r="167" spans="6:41" x14ac:dyDescent="0.25">
      <c r="F167" s="35" t="s">
        <v>1614</v>
      </c>
      <c r="G167" s="46" t="s">
        <v>10</v>
      </c>
      <c r="H167" s="47" t="s">
        <v>967</v>
      </c>
      <c r="L167" s="3" t="s">
        <v>219</v>
      </c>
      <c r="M167" s="3">
        <v>5434102</v>
      </c>
      <c r="N167" s="3" t="s">
        <v>223</v>
      </c>
      <c r="O167" s="94">
        <v>5421306</v>
      </c>
      <c r="Q167" s="3" t="s">
        <v>193</v>
      </c>
      <c r="R167" s="3" t="s">
        <v>196</v>
      </c>
      <c r="S167" s="3" t="s">
        <v>193</v>
      </c>
      <c r="T167" s="94">
        <v>5421105</v>
      </c>
      <c r="U167" s="3" t="s">
        <v>196</v>
      </c>
      <c r="V167" s="94">
        <v>5562201</v>
      </c>
      <c r="W167" s="93"/>
      <c r="AB167" s="177" t="s">
        <v>1414</v>
      </c>
      <c r="AC167" s="6" t="s">
        <v>3379</v>
      </c>
      <c r="AE167" s="177" t="s">
        <v>1414</v>
      </c>
      <c r="AF167" s="292" t="s">
        <v>3379</v>
      </c>
      <c r="AH167" s="177" t="s">
        <v>1412</v>
      </c>
      <c r="AI167" s="292" t="s">
        <v>3377</v>
      </c>
      <c r="AK167" s="3" t="s">
        <v>3750</v>
      </c>
      <c r="AM167" s="3" t="s">
        <v>2950</v>
      </c>
      <c r="AO167" s="106"/>
    </row>
    <row r="168" spans="6:41" x14ac:dyDescent="0.25">
      <c r="F168" s="35" t="s">
        <v>1614</v>
      </c>
      <c r="G168" s="46" t="s">
        <v>10</v>
      </c>
      <c r="H168" s="47" t="s">
        <v>968</v>
      </c>
      <c r="L168" s="3" t="s">
        <v>194</v>
      </c>
      <c r="M168" s="3">
        <v>5434101</v>
      </c>
      <c r="N168" s="3" t="s">
        <v>224</v>
      </c>
      <c r="O168" s="94">
        <v>3534501</v>
      </c>
      <c r="Q168" s="3" t="s">
        <v>219</v>
      </c>
      <c r="R168" s="3" t="s">
        <v>223</v>
      </c>
      <c r="S168" s="3" t="s">
        <v>219</v>
      </c>
      <c r="T168" s="94">
        <v>5434102</v>
      </c>
      <c r="U168" s="3" t="s">
        <v>223</v>
      </c>
      <c r="V168" s="94">
        <v>5421306</v>
      </c>
      <c r="W168" s="93"/>
      <c r="AB168" s="177" t="s">
        <v>1415</v>
      </c>
      <c r="AC168" s="6" t="s">
        <v>3380</v>
      </c>
      <c r="AE168" s="177" t="s">
        <v>1415</v>
      </c>
      <c r="AF168" s="292" t="s">
        <v>3380</v>
      </c>
      <c r="AH168" s="177" t="s">
        <v>1413</v>
      </c>
      <c r="AI168" s="292" t="s">
        <v>3378</v>
      </c>
      <c r="AK168" s="3" t="s">
        <v>3145</v>
      </c>
      <c r="AM168" s="3" t="s">
        <v>3604</v>
      </c>
      <c r="AO168" s="106"/>
    </row>
    <row r="169" spans="6:41" x14ac:dyDescent="0.25">
      <c r="F169" s="35" t="s">
        <v>1614</v>
      </c>
      <c r="G169" s="46" t="s">
        <v>10</v>
      </c>
      <c r="H169" s="47" t="s">
        <v>969</v>
      </c>
      <c r="L169" s="3" t="s">
        <v>195</v>
      </c>
      <c r="M169" s="3">
        <v>3462202</v>
      </c>
      <c r="N169" s="3" t="s">
        <v>226</v>
      </c>
      <c r="O169" s="94">
        <v>5534501</v>
      </c>
      <c r="Q169" s="3" t="s">
        <v>194</v>
      </c>
      <c r="R169" s="3" t="s">
        <v>224</v>
      </c>
      <c r="S169" s="3" t="s">
        <v>194</v>
      </c>
      <c r="T169" s="94">
        <v>5434101</v>
      </c>
      <c r="U169" s="3" t="s">
        <v>224</v>
      </c>
      <c r="V169" s="94">
        <v>3534501</v>
      </c>
      <c r="W169" s="93"/>
      <c r="AB169" s="177" t="s">
        <v>1416</v>
      </c>
      <c r="AC169" s="6" t="s">
        <v>3381</v>
      </c>
      <c r="AE169" s="177" t="s">
        <v>1416</v>
      </c>
      <c r="AF169" s="292" t="s">
        <v>3381</v>
      </c>
      <c r="AH169" s="177" t="s">
        <v>1414</v>
      </c>
      <c r="AI169" s="292" t="s">
        <v>3379</v>
      </c>
      <c r="AK169" s="3" t="s">
        <v>3778</v>
      </c>
      <c r="AM169" s="3" t="s">
        <v>3605</v>
      </c>
      <c r="AO169" s="106"/>
    </row>
    <row r="170" spans="6:41" x14ac:dyDescent="0.25">
      <c r="F170" s="35" t="s">
        <v>1614</v>
      </c>
      <c r="G170" s="46" t="s">
        <v>10</v>
      </c>
      <c r="H170" s="47" t="s">
        <v>970</v>
      </c>
      <c r="L170" s="3" t="s">
        <v>196</v>
      </c>
      <c r="M170" s="3">
        <v>5562201</v>
      </c>
      <c r="N170" s="3" t="s">
        <v>198</v>
      </c>
      <c r="O170" s="94">
        <v>5476102</v>
      </c>
      <c r="Q170" s="3" t="s">
        <v>195</v>
      </c>
      <c r="R170" s="3" t="s">
        <v>226</v>
      </c>
      <c r="S170" s="3" t="s">
        <v>195</v>
      </c>
      <c r="T170" s="94">
        <v>3462202</v>
      </c>
      <c r="U170" s="3" t="s">
        <v>226</v>
      </c>
      <c r="V170" s="94">
        <v>5534501</v>
      </c>
      <c r="W170" s="93"/>
      <c r="AB170" s="177" t="s">
        <v>354</v>
      </c>
      <c r="AC170" s="6" t="s">
        <v>3382</v>
      </c>
      <c r="AE170" s="177" t="s">
        <v>354</v>
      </c>
      <c r="AF170" s="292" t="s">
        <v>3382</v>
      </c>
      <c r="AH170" s="177" t="s">
        <v>1415</v>
      </c>
      <c r="AI170" s="292" t="s">
        <v>3380</v>
      </c>
      <c r="AK170" s="3" t="s">
        <v>3752</v>
      </c>
      <c r="AM170" s="3" t="s">
        <v>2951</v>
      </c>
      <c r="AO170" s="106"/>
    </row>
    <row r="171" spans="6:41" x14ac:dyDescent="0.25">
      <c r="H171" s="38" t="s">
        <v>11</v>
      </c>
      <c r="L171" s="3" t="s">
        <v>223</v>
      </c>
      <c r="M171" s="3">
        <v>5421306</v>
      </c>
      <c r="N171" s="3" t="s">
        <v>199</v>
      </c>
      <c r="O171" s="94">
        <v>3454305</v>
      </c>
      <c r="Q171" s="3" t="s">
        <v>196</v>
      </c>
      <c r="R171" s="3" t="s">
        <v>198</v>
      </c>
      <c r="S171" s="3" t="s">
        <v>196</v>
      </c>
      <c r="T171" s="94">
        <v>5562201</v>
      </c>
      <c r="U171" s="3" t="s">
        <v>198</v>
      </c>
      <c r="V171" s="94">
        <v>5476102</v>
      </c>
      <c r="W171" s="93"/>
      <c r="AB171" s="177" t="s">
        <v>355</v>
      </c>
      <c r="AC171" s="6" t="s">
        <v>3383</v>
      </c>
      <c r="AE171" s="177" t="s">
        <v>355</v>
      </c>
      <c r="AF171" s="292" t="s">
        <v>3383</v>
      </c>
      <c r="AH171" s="177" t="s">
        <v>1416</v>
      </c>
      <c r="AI171" s="292" t="s">
        <v>3381</v>
      </c>
      <c r="AK171" s="3" t="s">
        <v>3125</v>
      </c>
      <c r="AM171" s="3" t="s">
        <v>2952</v>
      </c>
      <c r="AO171" s="106"/>
    </row>
    <row r="172" spans="6:41" x14ac:dyDescent="0.25">
      <c r="F172" s="35" t="s">
        <v>1614</v>
      </c>
      <c r="G172" s="46" t="s">
        <v>11</v>
      </c>
      <c r="H172" s="47" t="s">
        <v>971</v>
      </c>
      <c r="L172" s="3" t="s">
        <v>224</v>
      </c>
      <c r="M172" s="3">
        <v>3534501</v>
      </c>
      <c r="N172" s="3" t="s">
        <v>230</v>
      </c>
      <c r="O172" s="94">
        <v>3454108</v>
      </c>
      <c r="Q172" s="3" t="s">
        <v>223</v>
      </c>
      <c r="R172" s="3" t="s">
        <v>199</v>
      </c>
      <c r="S172" s="3" t="s">
        <v>223</v>
      </c>
      <c r="T172" s="94">
        <v>5421306</v>
      </c>
      <c r="U172" s="3" t="s">
        <v>199</v>
      </c>
      <c r="V172" s="94">
        <v>3454305</v>
      </c>
      <c r="W172" s="93"/>
      <c r="AB172" s="177" t="s">
        <v>1417</v>
      </c>
      <c r="AC172" s="6" t="s">
        <v>3384</v>
      </c>
      <c r="AE172" s="177" t="s">
        <v>1417</v>
      </c>
      <c r="AF172" s="292" t="s">
        <v>3384</v>
      </c>
      <c r="AH172" s="177" t="s">
        <v>354</v>
      </c>
      <c r="AI172" s="292" t="s">
        <v>3382</v>
      </c>
      <c r="AK172" s="3" t="s">
        <v>3123</v>
      </c>
      <c r="AM172" s="3" t="s">
        <v>2953</v>
      </c>
      <c r="AO172" s="106"/>
    </row>
    <row r="173" spans="6:41" x14ac:dyDescent="0.25">
      <c r="F173" s="35" t="s">
        <v>1614</v>
      </c>
      <c r="G173" s="46" t="s">
        <v>11</v>
      </c>
      <c r="H173" s="47" t="s">
        <v>972</v>
      </c>
      <c r="L173" s="3" t="s">
        <v>226</v>
      </c>
      <c r="M173" s="3">
        <v>5534501</v>
      </c>
      <c r="N173" s="3" t="s">
        <v>232</v>
      </c>
      <c r="O173" s="94">
        <v>5521205</v>
      </c>
      <c r="Q173" s="3" t="s">
        <v>224</v>
      </c>
      <c r="R173" s="3" t="s">
        <v>230</v>
      </c>
      <c r="S173" s="3" t="s">
        <v>224</v>
      </c>
      <c r="T173" s="94">
        <v>3534501</v>
      </c>
      <c r="U173" s="3" t="s">
        <v>230</v>
      </c>
      <c r="V173" s="94">
        <v>3454108</v>
      </c>
      <c r="W173" s="93"/>
      <c r="AB173" s="177" t="s">
        <v>332</v>
      </c>
      <c r="AC173" s="6" t="s">
        <v>3385</v>
      </c>
      <c r="AE173" s="177" t="s">
        <v>332</v>
      </c>
      <c r="AF173" s="292" t="s">
        <v>3385</v>
      </c>
      <c r="AH173" s="177" t="s">
        <v>355</v>
      </c>
      <c r="AI173" s="292" t="s">
        <v>3383</v>
      </c>
      <c r="AK173" s="3" t="s">
        <v>3150</v>
      </c>
      <c r="AM173" s="3" t="s">
        <v>3606</v>
      </c>
      <c r="AO173" s="106"/>
    </row>
    <row r="174" spans="6:41" x14ac:dyDescent="0.25">
      <c r="F174" s="35" t="s">
        <v>1614</v>
      </c>
      <c r="G174" s="46" t="s">
        <v>11</v>
      </c>
      <c r="H174" s="47" t="s">
        <v>973</v>
      </c>
      <c r="L174" s="3" t="s">
        <v>198</v>
      </c>
      <c r="M174" s="3">
        <v>5476102</v>
      </c>
      <c r="N174" s="3" t="s">
        <v>233</v>
      </c>
      <c r="O174" s="94">
        <v>5421205</v>
      </c>
      <c r="Q174" s="3" t="s">
        <v>226</v>
      </c>
      <c r="R174" s="3" t="s">
        <v>232</v>
      </c>
      <c r="S174" s="3" t="s">
        <v>226</v>
      </c>
      <c r="T174" s="94">
        <v>5534501</v>
      </c>
      <c r="U174" s="3" t="s">
        <v>232</v>
      </c>
      <c r="V174" s="94">
        <v>5521205</v>
      </c>
      <c r="W174" s="93"/>
      <c r="AB174" s="177" t="s">
        <v>1418</v>
      </c>
      <c r="AC174" s="6" t="s">
        <v>3386</v>
      </c>
      <c r="AE174" s="177" t="s">
        <v>1418</v>
      </c>
      <c r="AF174" s="292" t="s">
        <v>3386</v>
      </c>
      <c r="AH174" s="177" t="s">
        <v>1417</v>
      </c>
      <c r="AI174" s="292" t="s">
        <v>3384</v>
      </c>
      <c r="AK174" s="3" t="s">
        <v>3153</v>
      </c>
      <c r="AM174" s="3" t="s">
        <v>3607</v>
      </c>
      <c r="AO174" s="106"/>
    </row>
    <row r="175" spans="6:41" x14ac:dyDescent="0.25">
      <c r="F175" s="35" t="s">
        <v>1614</v>
      </c>
      <c r="G175" s="46" t="s">
        <v>11</v>
      </c>
      <c r="H175" s="47" t="s">
        <v>974</v>
      </c>
      <c r="L175" s="3" t="s">
        <v>199</v>
      </c>
      <c r="M175" s="3">
        <v>3454305</v>
      </c>
      <c r="N175" s="3" t="s">
        <v>654</v>
      </c>
      <c r="O175" s="94">
        <v>5572511</v>
      </c>
      <c r="Q175" s="3" t="s">
        <v>198</v>
      </c>
      <c r="R175" s="3" t="s">
        <v>233</v>
      </c>
      <c r="S175" s="3" t="s">
        <v>198</v>
      </c>
      <c r="T175" s="94">
        <v>5476102</v>
      </c>
      <c r="U175" s="3" t="s">
        <v>233</v>
      </c>
      <c r="V175" s="94">
        <v>5421205</v>
      </c>
      <c r="W175" s="93"/>
      <c r="AB175" s="177" t="s">
        <v>1419</v>
      </c>
      <c r="AC175" s="6" t="s">
        <v>3387</v>
      </c>
      <c r="AE175" s="177" t="s">
        <v>1419</v>
      </c>
      <c r="AF175" s="292" t="s">
        <v>3387</v>
      </c>
      <c r="AH175" s="177" t="s">
        <v>332</v>
      </c>
      <c r="AI175" s="292" t="s">
        <v>3385</v>
      </c>
      <c r="AK175" s="3" t="s">
        <v>3132</v>
      </c>
      <c r="AM175" s="3" t="s">
        <v>3608</v>
      </c>
      <c r="AO175" s="106"/>
    </row>
    <row r="176" spans="6:41" x14ac:dyDescent="0.25">
      <c r="F176" s="35" t="s">
        <v>1614</v>
      </c>
      <c r="G176" s="46" t="s">
        <v>11</v>
      </c>
      <c r="H176" s="47" t="s">
        <v>975</v>
      </c>
      <c r="L176" s="3" t="s">
        <v>230</v>
      </c>
      <c r="M176" s="3">
        <v>3454108</v>
      </c>
      <c r="N176" s="3" t="s">
        <v>236</v>
      </c>
      <c r="O176" s="94">
        <v>5572518</v>
      </c>
      <c r="Q176" s="3" t="s">
        <v>199</v>
      </c>
      <c r="R176" s="3" t="s">
        <v>202</v>
      </c>
      <c r="S176" s="3" t="s">
        <v>199</v>
      </c>
      <c r="T176" s="94">
        <v>3454305</v>
      </c>
      <c r="U176" s="3" t="s">
        <v>202</v>
      </c>
      <c r="V176" s="94">
        <v>5572511</v>
      </c>
      <c r="W176" s="93"/>
      <c r="AB176" s="177" t="s">
        <v>1420</v>
      </c>
      <c r="AC176" s="6" t="s">
        <v>3388</v>
      </c>
      <c r="AE176" s="293" t="s">
        <v>1420</v>
      </c>
      <c r="AF176" s="292" t="s">
        <v>3388</v>
      </c>
      <c r="AH176" s="177" t="s">
        <v>1418</v>
      </c>
      <c r="AI176" s="292" t="s">
        <v>3386</v>
      </c>
      <c r="AK176" s="3" t="s">
        <v>3147</v>
      </c>
      <c r="AM176" s="3" t="s">
        <v>3609</v>
      </c>
      <c r="AO176" s="106"/>
    </row>
    <row r="177" spans="6:41" x14ac:dyDescent="0.25">
      <c r="F177" s="35" t="s">
        <v>1614</v>
      </c>
      <c r="G177" s="46" t="s">
        <v>11</v>
      </c>
      <c r="H177" s="47" t="s">
        <v>976</v>
      </c>
      <c r="L177" s="3" t="s">
        <v>232</v>
      </c>
      <c r="M177" s="3">
        <v>5521205</v>
      </c>
      <c r="N177" s="3" t="s">
        <v>238</v>
      </c>
      <c r="O177" s="94">
        <v>5472507</v>
      </c>
      <c r="Q177" s="3" t="s">
        <v>230</v>
      </c>
      <c r="R177" s="3" t="s">
        <v>236</v>
      </c>
      <c r="S177" s="3" t="s">
        <v>230</v>
      </c>
      <c r="T177" s="94">
        <v>3454108</v>
      </c>
      <c r="U177" s="3" t="s">
        <v>236</v>
      </c>
      <c r="V177" s="94">
        <v>5572518</v>
      </c>
      <c r="W177" s="93"/>
      <c r="AH177" s="177" t="s">
        <v>1419</v>
      </c>
      <c r="AI177" s="292" t="s">
        <v>3387</v>
      </c>
      <c r="AK177" s="3" t="s">
        <v>3753</v>
      </c>
      <c r="AM177" s="3" t="s">
        <v>2878</v>
      </c>
      <c r="AO177" s="106"/>
    </row>
    <row r="178" spans="6:41" x14ac:dyDescent="0.25">
      <c r="F178" s="35" t="s">
        <v>1614</v>
      </c>
      <c r="G178" s="46" t="s">
        <v>11</v>
      </c>
      <c r="H178" s="47" t="s">
        <v>977</v>
      </c>
      <c r="L178" s="3" t="s">
        <v>233</v>
      </c>
      <c r="M178" s="3">
        <v>5421205</v>
      </c>
      <c r="N178" s="3" t="s">
        <v>240</v>
      </c>
      <c r="O178" s="94">
        <v>5452509</v>
      </c>
      <c r="Q178" s="3" t="s">
        <v>232</v>
      </c>
      <c r="R178" s="3" t="s">
        <v>238</v>
      </c>
      <c r="S178" s="3" t="s">
        <v>232</v>
      </c>
      <c r="T178" s="94">
        <v>5521205</v>
      </c>
      <c r="U178" s="3" t="s">
        <v>238</v>
      </c>
      <c r="V178" s="94">
        <v>5472507</v>
      </c>
      <c r="W178" s="93"/>
      <c r="AH178" s="293" t="s">
        <v>1420</v>
      </c>
      <c r="AI178" s="292" t="s">
        <v>3388</v>
      </c>
      <c r="AK178" s="3" t="s">
        <v>3493</v>
      </c>
      <c r="AM178" s="3" t="s">
        <v>3491</v>
      </c>
      <c r="AO178" s="106"/>
    </row>
    <row r="179" spans="6:41" x14ac:dyDescent="0.25">
      <c r="F179" s="35" t="s">
        <v>1614</v>
      </c>
      <c r="G179" s="46" t="s">
        <v>11</v>
      </c>
      <c r="H179" s="47" t="s">
        <v>978</v>
      </c>
      <c r="L179" s="3" t="s">
        <v>202</v>
      </c>
      <c r="M179" s="3">
        <v>5572511</v>
      </c>
      <c r="N179" s="3" t="s">
        <v>203</v>
      </c>
      <c r="O179" s="94">
        <v>5452104</v>
      </c>
      <c r="Q179" s="3" t="s">
        <v>233</v>
      </c>
      <c r="R179" s="3" t="s">
        <v>240</v>
      </c>
      <c r="S179" s="3" t="s">
        <v>233</v>
      </c>
      <c r="T179" s="94">
        <v>5421205</v>
      </c>
      <c r="U179" s="3" t="s">
        <v>240</v>
      </c>
      <c r="V179" s="94">
        <v>5452509</v>
      </c>
      <c r="W179" s="93"/>
      <c r="AK179" s="3" t="s">
        <v>2866</v>
      </c>
      <c r="AM179" s="3" t="s">
        <v>2922</v>
      </c>
      <c r="AO179" s="106"/>
    </row>
    <row r="180" spans="6:41" x14ac:dyDescent="0.25">
      <c r="F180" s="35" t="s">
        <v>1614</v>
      </c>
      <c r="G180" s="46" t="s">
        <v>11</v>
      </c>
      <c r="H180" s="47" t="s">
        <v>979</v>
      </c>
      <c r="L180" s="3" t="s">
        <v>236</v>
      </c>
      <c r="M180" s="3">
        <v>5572518</v>
      </c>
      <c r="N180" s="3" t="s">
        <v>205</v>
      </c>
      <c r="O180" s="94">
        <v>5521303</v>
      </c>
      <c r="Q180" s="3" t="s">
        <v>202</v>
      </c>
      <c r="R180" s="3" t="s">
        <v>203</v>
      </c>
      <c r="S180" s="3" t="s">
        <v>202</v>
      </c>
      <c r="T180" s="94">
        <v>5572511</v>
      </c>
      <c r="U180" s="3" t="s">
        <v>203</v>
      </c>
      <c r="V180" s="94">
        <v>5452104</v>
      </c>
      <c r="W180" s="93"/>
      <c r="AK180" s="3" t="s">
        <v>2863</v>
      </c>
      <c r="AM180" s="3" t="s">
        <v>3121</v>
      </c>
      <c r="AO180" s="106"/>
    </row>
    <row r="181" spans="6:41" x14ac:dyDescent="0.25">
      <c r="F181" s="35" t="s">
        <v>1614</v>
      </c>
      <c r="G181" s="46" t="s">
        <v>11</v>
      </c>
      <c r="H181" s="47" t="s">
        <v>980</v>
      </c>
      <c r="L181" s="3" t="s">
        <v>238</v>
      </c>
      <c r="M181" s="3">
        <v>5472507</v>
      </c>
      <c r="N181" s="3" t="s">
        <v>206</v>
      </c>
      <c r="O181" s="94">
        <v>5481502</v>
      </c>
      <c r="Q181" s="3" t="s">
        <v>236</v>
      </c>
      <c r="R181" s="3" t="s">
        <v>205</v>
      </c>
      <c r="S181" s="3" t="s">
        <v>236</v>
      </c>
      <c r="T181" s="94">
        <v>5572518</v>
      </c>
      <c r="U181" s="3" t="s">
        <v>205</v>
      </c>
      <c r="V181" s="94">
        <v>5521303</v>
      </c>
      <c r="W181" s="93"/>
      <c r="AK181" s="3" t="s">
        <v>3495</v>
      </c>
      <c r="AM181" s="3" t="s">
        <v>3744</v>
      </c>
      <c r="AO181" s="106"/>
    </row>
    <row r="182" spans="6:41" x14ac:dyDescent="0.25">
      <c r="F182" s="35" t="s">
        <v>1614</v>
      </c>
      <c r="G182" s="46" t="s">
        <v>11</v>
      </c>
      <c r="H182" s="47" t="s">
        <v>981</v>
      </c>
      <c r="L182" s="3" t="s">
        <v>240</v>
      </c>
      <c r="M182" s="3">
        <v>5452509</v>
      </c>
      <c r="N182" s="3" t="s">
        <v>655</v>
      </c>
      <c r="O182" s="94">
        <v>3458214</v>
      </c>
      <c r="Q182" s="3" t="s">
        <v>238</v>
      </c>
      <c r="R182" s="3" t="s">
        <v>206</v>
      </c>
      <c r="S182" s="3" t="s">
        <v>238</v>
      </c>
      <c r="T182" s="94">
        <v>5472507</v>
      </c>
      <c r="U182" s="3" t="s">
        <v>206</v>
      </c>
      <c r="V182" s="94">
        <v>5481502</v>
      </c>
      <c r="W182" s="93"/>
      <c r="AK182" s="3" t="s">
        <v>3497</v>
      </c>
      <c r="AM182" s="3" t="s">
        <v>3745</v>
      </c>
      <c r="AO182" s="106"/>
    </row>
    <row r="183" spans="6:41" x14ac:dyDescent="0.25">
      <c r="H183" s="38" t="s">
        <v>12</v>
      </c>
      <c r="L183" s="3" t="s">
        <v>203</v>
      </c>
      <c r="M183" s="3">
        <v>5452104</v>
      </c>
      <c r="N183" s="3" t="s">
        <v>248</v>
      </c>
      <c r="O183" s="94">
        <v>3454306</v>
      </c>
      <c r="Q183" s="3" t="s">
        <v>240</v>
      </c>
      <c r="R183" s="3" t="s">
        <v>717</v>
      </c>
      <c r="S183" s="3" t="s">
        <v>240</v>
      </c>
      <c r="T183" s="94">
        <v>5452509</v>
      </c>
      <c r="U183" s="3" t="s">
        <v>717</v>
      </c>
      <c r="V183" s="94">
        <v>3458217</v>
      </c>
      <c r="W183" s="93"/>
      <c r="AK183" s="3" t="s">
        <v>3622</v>
      </c>
      <c r="AM183" s="3" t="s">
        <v>3141</v>
      </c>
      <c r="AO183" s="106"/>
    </row>
    <row r="184" spans="6:41" x14ac:dyDescent="0.25">
      <c r="F184" s="35" t="s">
        <v>1614</v>
      </c>
      <c r="G184" s="46" t="s">
        <v>12</v>
      </c>
      <c r="H184" s="47" t="s">
        <v>982</v>
      </c>
      <c r="L184" s="3" t="s">
        <v>205</v>
      </c>
      <c r="M184" s="3">
        <v>5521303</v>
      </c>
      <c r="N184" s="3" t="s">
        <v>208</v>
      </c>
      <c r="O184" s="94">
        <v>5485001</v>
      </c>
      <c r="Q184" s="3" t="s">
        <v>203</v>
      </c>
      <c r="R184" s="3" t="s">
        <v>246</v>
      </c>
      <c r="S184" s="3" t="s">
        <v>203</v>
      </c>
      <c r="T184" s="94">
        <v>5452104</v>
      </c>
      <c r="U184" s="3" t="s">
        <v>246</v>
      </c>
      <c r="V184" s="94">
        <v>3458214</v>
      </c>
      <c r="W184" s="93"/>
      <c r="AK184" s="3" t="s">
        <v>3623</v>
      </c>
      <c r="AM184" s="3" t="s">
        <v>3129</v>
      </c>
      <c r="AO184" s="106"/>
    </row>
    <row r="185" spans="6:41" x14ac:dyDescent="0.25">
      <c r="F185" s="35" t="s">
        <v>1614</v>
      </c>
      <c r="G185" s="46" t="s">
        <v>12</v>
      </c>
      <c r="H185" s="47" t="s">
        <v>983</v>
      </c>
      <c r="L185" s="3" t="s">
        <v>206</v>
      </c>
      <c r="M185" s="3">
        <v>5481502</v>
      </c>
      <c r="N185" s="3" t="s">
        <v>209</v>
      </c>
      <c r="O185" s="94">
        <v>5585002</v>
      </c>
      <c r="Q185" s="3" t="s">
        <v>205</v>
      </c>
      <c r="R185" s="3" t="s">
        <v>248</v>
      </c>
      <c r="S185" s="3" t="s">
        <v>205</v>
      </c>
      <c r="T185" s="94">
        <v>5521303</v>
      </c>
      <c r="U185" s="3" t="s">
        <v>248</v>
      </c>
      <c r="V185" s="94">
        <v>3454306</v>
      </c>
      <c r="W185" s="93"/>
      <c r="AK185" s="3" t="s">
        <v>3008</v>
      </c>
      <c r="AM185" s="3" t="s">
        <v>3746</v>
      </c>
      <c r="AO185" s="106"/>
    </row>
    <row r="186" spans="6:41" x14ac:dyDescent="0.25">
      <c r="F186" s="35" t="s">
        <v>1614</v>
      </c>
      <c r="G186" s="46" t="s">
        <v>12</v>
      </c>
      <c r="H186" s="47" t="s">
        <v>984</v>
      </c>
      <c r="L186" s="3" t="s">
        <v>1873</v>
      </c>
      <c r="M186" s="3">
        <v>3458207</v>
      </c>
      <c r="N186" s="3" t="s">
        <v>211</v>
      </c>
      <c r="O186" s="94">
        <v>5452303</v>
      </c>
      <c r="Q186" s="3" t="s">
        <v>206</v>
      </c>
      <c r="R186" s="3" t="s">
        <v>208</v>
      </c>
      <c r="S186" s="3" t="s">
        <v>206</v>
      </c>
      <c r="T186" s="94">
        <v>5481502</v>
      </c>
      <c r="U186" s="3" t="s">
        <v>208</v>
      </c>
      <c r="V186" s="94">
        <v>5485001</v>
      </c>
      <c r="W186" s="93"/>
      <c r="AK186" s="3" t="s">
        <v>3624</v>
      </c>
      <c r="AM186" s="3" t="s">
        <v>3139</v>
      </c>
      <c r="AO186" s="106"/>
    </row>
    <row r="187" spans="6:41" x14ac:dyDescent="0.25">
      <c r="F187" s="35" t="s">
        <v>1614</v>
      </c>
      <c r="G187" s="46" t="s">
        <v>12</v>
      </c>
      <c r="H187" s="47" t="s">
        <v>985</v>
      </c>
      <c r="L187" s="3" t="s">
        <v>246</v>
      </c>
      <c r="M187" s="3">
        <v>3458214</v>
      </c>
      <c r="N187" s="3" t="s">
        <v>253</v>
      </c>
      <c r="O187" s="94">
        <v>5434502</v>
      </c>
      <c r="Q187" s="3" t="s">
        <v>717</v>
      </c>
      <c r="R187" s="3" t="s">
        <v>209</v>
      </c>
      <c r="S187" s="3" t="s">
        <v>717</v>
      </c>
      <c r="T187" s="94">
        <v>3458217</v>
      </c>
      <c r="U187" s="3" t="s">
        <v>209</v>
      </c>
      <c r="V187" s="94">
        <v>5585002</v>
      </c>
      <c r="W187" s="93"/>
      <c r="AK187" s="3" t="s">
        <v>3625</v>
      </c>
      <c r="AM187" s="3" t="s">
        <v>3747</v>
      </c>
      <c r="AO187" s="106"/>
    </row>
    <row r="188" spans="6:41" x14ac:dyDescent="0.25">
      <c r="F188" s="35" t="s">
        <v>1614</v>
      </c>
      <c r="G188" s="46" t="s">
        <v>12</v>
      </c>
      <c r="H188" s="47" t="s">
        <v>986</v>
      </c>
      <c r="L188" s="3" t="s">
        <v>248</v>
      </c>
      <c r="M188" s="3">
        <v>3454306</v>
      </c>
      <c r="N188" s="3" t="s">
        <v>213</v>
      </c>
      <c r="O188" s="94">
        <v>3458209</v>
      </c>
      <c r="Q188" s="3" t="s">
        <v>246</v>
      </c>
      <c r="R188" s="3" t="s">
        <v>211</v>
      </c>
      <c r="S188" s="3" t="s">
        <v>246</v>
      </c>
      <c r="T188" s="94">
        <v>3458214</v>
      </c>
      <c r="U188" s="3" t="s">
        <v>211</v>
      </c>
      <c r="V188" s="94">
        <v>5452303</v>
      </c>
      <c r="W188" s="93"/>
      <c r="AK188" s="3" t="s">
        <v>3009</v>
      </c>
      <c r="AM188" s="3" t="s">
        <v>3136</v>
      </c>
      <c r="AO188" s="106"/>
    </row>
    <row r="189" spans="6:41" x14ac:dyDescent="0.25">
      <c r="F189" s="35" t="s">
        <v>1614</v>
      </c>
      <c r="G189" s="46" t="s">
        <v>12</v>
      </c>
      <c r="H189" s="47" t="s">
        <v>987</v>
      </c>
      <c r="L189" s="3" t="s">
        <v>208</v>
      </c>
      <c r="M189" s="3">
        <v>5485001</v>
      </c>
      <c r="N189" s="3" t="s">
        <v>215</v>
      </c>
      <c r="O189" s="94">
        <v>5484102</v>
      </c>
      <c r="Q189" s="3" t="s">
        <v>248</v>
      </c>
      <c r="R189" s="3" t="s">
        <v>253</v>
      </c>
      <c r="S189" s="3" t="s">
        <v>248</v>
      </c>
      <c r="T189" s="94">
        <v>3454306</v>
      </c>
      <c r="U189" s="3" t="s">
        <v>253</v>
      </c>
      <c r="V189" s="94">
        <v>5434502</v>
      </c>
      <c r="W189" s="93"/>
      <c r="AK189" s="3" t="s">
        <v>3010</v>
      </c>
      <c r="AM189" s="3" t="s">
        <v>3748</v>
      </c>
      <c r="AO189" s="106"/>
    </row>
    <row r="190" spans="6:41" x14ac:dyDescent="0.25">
      <c r="H190" s="38" t="s">
        <v>904</v>
      </c>
      <c r="L190" s="3" t="s">
        <v>209</v>
      </c>
      <c r="M190" s="3">
        <v>5585002</v>
      </c>
      <c r="N190" s="3" t="s">
        <v>256</v>
      </c>
      <c r="O190" s="94">
        <v>5472508</v>
      </c>
      <c r="Q190" s="3" t="s">
        <v>208</v>
      </c>
      <c r="R190" s="3" t="s">
        <v>213</v>
      </c>
      <c r="S190" s="3" t="s">
        <v>208</v>
      </c>
      <c r="T190" s="94">
        <v>5485001</v>
      </c>
      <c r="U190" s="3" t="s">
        <v>213</v>
      </c>
      <c r="V190" s="94">
        <v>3458209</v>
      </c>
      <c r="W190" s="93"/>
      <c r="AK190" s="3" t="s">
        <v>3011</v>
      </c>
      <c r="AM190" s="3" t="s">
        <v>3749</v>
      </c>
      <c r="AO190" s="106"/>
    </row>
    <row r="191" spans="6:41" x14ac:dyDescent="0.25">
      <c r="F191" s="35" t="s">
        <v>1614</v>
      </c>
      <c r="G191" s="46" t="s">
        <v>904</v>
      </c>
      <c r="H191" s="47" t="s">
        <v>988</v>
      </c>
      <c r="L191" s="3" t="s">
        <v>211</v>
      </c>
      <c r="M191" s="3">
        <v>5452303</v>
      </c>
      <c r="N191" s="3" t="s">
        <v>217</v>
      </c>
      <c r="O191" s="94">
        <v>5484103</v>
      </c>
      <c r="Q191" s="3" t="s">
        <v>209</v>
      </c>
      <c r="R191" s="3" t="s">
        <v>215</v>
      </c>
      <c r="S191" s="3" t="s">
        <v>209</v>
      </c>
      <c r="T191" s="94">
        <v>5585002</v>
      </c>
      <c r="U191" s="3" t="s">
        <v>215</v>
      </c>
      <c r="V191" s="94">
        <v>5484102</v>
      </c>
      <c r="W191" s="93"/>
      <c r="AK191" s="3" t="s">
        <v>3628</v>
      </c>
      <c r="AM191" s="3" t="s">
        <v>3155</v>
      </c>
      <c r="AO191" s="106"/>
    </row>
    <row r="192" spans="6:41" x14ac:dyDescent="0.25">
      <c r="F192" s="35" t="s">
        <v>1614</v>
      </c>
      <c r="G192" s="46" t="s">
        <v>904</v>
      </c>
      <c r="H192" s="47" t="s">
        <v>989</v>
      </c>
      <c r="L192" s="3" t="s">
        <v>253</v>
      </c>
      <c r="M192" s="3">
        <v>5434502</v>
      </c>
      <c r="N192" s="3" t="s">
        <v>218</v>
      </c>
      <c r="O192" s="94">
        <v>5558201</v>
      </c>
      <c r="Q192" s="3" t="s">
        <v>211</v>
      </c>
      <c r="R192" s="3" t="s">
        <v>256</v>
      </c>
      <c r="S192" s="3" t="s">
        <v>211</v>
      </c>
      <c r="T192" s="94">
        <v>5452303</v>
      </c>
      <c r="U192" s="3" t="s">
        <v>256</v>
      </c>
      <c r="V192" s="94">
        <v>5472508</v>
      </c>
      <c r="W192" s="93"/>
      <c r="AK192" s="3" t="s">
        <v>2945</v>
      </c>
      <c r="AM192" s="3" t="s">
        <v>3750</v>
      </c>
      <c r="AO192" s="106"/>
    </row>
    <row r="193" spans="6:41" x14ac:dyDescent="0.25">
      <c r="F193" s="35" t="s">
        <v>1614</v>
      </c>
      <c r="G193" s="46" t="s">
        <v>904</v>
      </c>
      <c r="H193" s="47" t="s">
        <v>990</v>
      </c>
      <c r="L193" s="3" t="s">
        <v>213</v>
      </c>
      <c r="M193" s="3">
        <v>3458209</v>
      </c>
      <c r="N193" s="3" t="s">
        <v>259</v>
      </c>
      <c r="O193" s="94">
        <v>5484111</v>
      </c>
      <c r="Q193" s="3" t="s">
        <v>253</v>
      </c>
      <c r="R193" s="3" t="s">
        <v>217</v>
      </c>
      <c r="S193" s="3" t="s">
        <v>253</v>
      </c>
      <c r="T193" s="94">
        <v>5434502</v>
      </c>
      <c r="U193" s="3" t="s">
        <v>217</v>
      </c>
      <c r="V193" s="94">
        <v>5484103</v>
      </c>
      <c r="W193" s="93"/>
      <c r="AK193" s="3" t="s">
        <v>2954</v>
      </c>
      <c r="AM193" s="3" t="s">
        <v>3145</v>
      </c>
      <c r="AO193" s="106"/>
    </row>
    <row r="194" spans="6:41" x14ac:dyDescent="0.25">
      <c r="F194" s="35" t="s">
        <v>1614</v>
      </c>
      <c r="G194" s="46" t="s">
        <v>904</v>
      </c>
      <c r="H194" s="47" t="s">
        <v>991</v>
      </c>
      <c r="L194" s="3" t="s">
        <v>215</v>
      </c>
      <c r="M194" s="3">
        <v>5484102</v>
      </c>
      <c r="N194" s="3" t="s">
        <v>220</v>
      </c>
      <c r="O194" s="94">
        <v>3462102</v>
      </c>
      <c r="Q194" s="3" t="s">
        <v>213</v>
      </c>
      <c r="R194" s="3" t="s">
        <v>218</v>
      </c>
      <c r="S194" s="3" t="s">
        <v>213</v>
      </c>
      <c r="T194" s="94">
        <v>3458209</v>
      </c>
      <c r="U194" s="3" t="s">
        <v>218</v>
      </c>
      <c r="V194" s="94">
        <v>5558201</v>
      </c>
      <c r="W194" s="93"/>
      <c r="AK194" s="3" t="s">
        <v>2948</v>
      </c>
      <c r="AM194" s="3" t="s">
        <v>3752</v>
      </c>
      <c r="AO194" s="106"/>
    </row>
    <row r="195" spans="6:41" x14ac:dyDescent="0.25">
      <c r="F195" s="35" t="s">
        <v>1614</v>
      </c>
      <c r="G195" s="46" t="s">
        <v>904</v>
      </c>
      <c r="H195" s="47" t="s">
        <v>992</v>
      </c>
      <c r="L195" s="3" t="s">
        <v>256</v>
      </c>
      <c r="M195" s="3">
        <v>5472508</v>
      </c>
      <c r="N195" s="3" t="s">
        <v>221</v>
      </c>
      <c r="O195" s="94">
        <v>5458203</v>
      </c>
      <c r="Q195" s="3" t="s">
        <v>215</v>
      </c>
      <c r="R195" s="3" t="s">
        <v>259</v>
      </c>
      <c r="S195" s="3" t="s">
        <v>215</v>
      </c>
      <c r="T195" s="94">
        <v>5484102</v>
      </c>
      <c r="U195" s="3" t="s">
        <v>259</v>
      </c>
      <c r="V195" s="94">
        <v>5484111</v>
      </c>
      <c r="W195" s="93"/>
      <c r="AK195" s="3" t="s">
        <v>3534</v>
      </c>
      <c r="AM195" s="3" t="s">
        <v>3751</v>
      </c>
      <c r="AO195" s="106"/>
    </row>
    <row r="196" spans="6:41" x14ac:dyDescent="0.25">
      <c r="F196" s="35" t="s">
        <v>1614</v>
      </c>
      <c r="G196" s="46" t="s">
        <v>904</v>
      </c>
      <c r="H196" s="47" t="s">
        <v>993</v>
      </c>
      <c r="L196" s="3" t="s">
        <v>217</v>
      </c>
      <c r="M196" s="3">
        <v>5484103</v>
      </c>
      <c r="N196" s="3" t="s">
        <v>222</v>
      </c>
      <c r="O196" s="94">
        <v>5554105</v>
      </c>
      <c r="Q196" s="3" t="s">
        <v>256</v>
      </c>
      <c r="R196" s="3" t="s">
        <v>220</v>
      </c>
      <c r="S196" s="3" t="s">
        <v>256</v>
      </c>
      <c r="T196" s="94">
        <v>5472508</v>
      </c>
      <c r="U196" s="3" t="s">
        <v>220</v>
      </c>
      <c r="V196" s="94">
        <v>3462102</v>
      </c>
      <c r="W196" s="93"/>
      <c r="AK196" s="3" t="s">
        <v>3754</v>
      </c>
      <c r="AM196" s="3" t="s">
        <v>3125</v>
      </c>
      <c r="AO196" s="106"/>
    </row>
    <row r="197" spans="6:41" x14ac:dyDescent="0.25">
      <c r="F197" s="35" t="s">
        <v>1614</v>
      </c>
      <c r="G197" s="46" t="s">
        <v>904</v>
      </c>
      <c r="H197" s="47" t="s">
        <v>994</v>
      </c>
      <c r="L197" s="3" t="s">
        <v>218</v>
      </c>
      <c r="M197" s="3">
        <v>5558201</v>
      </c>
      <c r="N197" s="3" t="s">
        <v>225</v>
      </c>
      <c r="O197" s="94">
        <v>5452304</v>
      </c>
      <c r="Q197" s="3" t="s">
        <v>217</v>
      </c>
      <c r="R197" s="3" t="s">
        <v>221</v>
      </c>
      <c r="S197" s="3" t="s">
        <v>217</v>
      </c>
      <c r="T197" s="94">
        <v>5484103</v>
      </c>
      <c r="U197" s="3" t="s">
        <v>221</v>
      </c>
      <c r="V197" s="94">
        <v>5458203</v>
      </c>
      <c r="W197" s="93"/>
      <c r="AK197" s="3" t="s">
        <v>2862</v>
      </c>
      <c r="AM197" s="3" t="s">
        <v>3123</v>
      </c>
      <c r="AO197" s="106"/>
    </row>
    <row r="198" spans="6:41" x14ac:dyDescent="0.25">
      <c r="F198" s="35" t="s">
        <v>1614</v>
      </c>
      <c r="G198" s="46" t="s">
        <v>904</v>
      </c>
      <c r="H198" s="47" t="s">
        <v>995</v>
      </c>
      <c r="L198" s="3" t="s">
        <v>259</v>
      </c>
      <c r="M198" s="3">
        <v>5484111</v>
      </c>
      <c r="N198" s="3" t="s">
        <v>227</v>
      </c>
      <c r="O198" s="94">
        <v>3452301</v>
      </c>
      <c r="Q198" s="3" t="s">
        <v>218</v>
      </c>
      <c r="R198" s="3" t="s">
        <v>222</v>
      </c>
      <c r="S198" s="3" t="s">
        <v>218</v>
      </c>
      <c r="T198" s="94">
        <v>5558201</v>
      </c>
      <c r="U198" s="3" t="s">
        <v>222</v>
      </c>
      <c r="V198" s="94">
        <v>5554105</v>
      </c>
      <c r="W198" s="93"/>
      <c r="AK198" s="3" t="s">
        <v>2861</v>
      </c>
      <c r="AM198" s="3" t="s">
        <v>3150</v>
      </c>
      <c r="AO198" s="106"/>
    </row>
    <row r="199" spans="6:41" x14ac:dyDescent="0.25">
      <c r="H199" s="38" t="s">
        <v>13</v>
      </c>
      <c r="L199" s="3" t="s">
        <v>220</v>
      </c>
      <c r="M199" s="3">
        <v>3462102</v>
      </c>
      <c r="N199" s="3" t="s">
        <v>228</v>
      </c>
      <c r="O199" s="94">
        <v>5458204</v>
      </c>
      <c r="Q199" s="3" t="s">
        <v>259</v>
      </c>
      <c r="R199" s="3" t="s">
        <v>225</v>
      </c>
      <c r="S199" s="3" t="s">
        <v>259</v>
      </c>
      <c r="T199" s="94">
        <v>5484111</v>
      </c>
      <c r="U199" s="3" t="s">
        <v>225</v>
      </c>
      <c r="V199" s="94">
        <v>5452304</v>
      </c>
      <c r="W199" s="93"/>
      <c r="AK199" s="3" t="s">
        <v>3501</v>
      </c>
      <c r="AM199" s="3" t="s">
        <v>3153</v>
      </c>
      <c r="AO199" s="106"/>
    </row>
    <row r="200" spans="6:41" x14ac:dyDescent="0.25">
      <c r="F200" s="35" t="s">
        <v>1614</v>
      </c>
      <c r="G200" s="46" t="s">
        <v>13</v>
      </c>
      <c r="H200" s="47" t="s">
        <v>996</v>
      </c>
      <c r="L200" s="3" t="s">
        <v>221</v>
      </c>
      <c r="M200" s="3">
        <v>5458203</v>
      </c>
      <c r="N200" s="3" t="s">
        <v>229</v>
      </c>
      <c r="O200" s="94">
        <v>5576203</v>
      </c>
      <c r="Q200" s="3" t="s">
        <v>220</v>
      </c>
      <c r="R200" s="3" t="s">
        <v>227</v>
      </c>
      <c r="S200" s="3" t="s">
        <v>220</v>
      </c>
      <c r="T200" s="94">
        <v>3462102</v>
      </c>
      <c r="U200" s="3" t="s">
        <v>227</v>
      </c>
      <c r="V200" s="94">
        <v>3452301</v>
      </c>
      <c r="W200" s="93"/>
      <c r="AK200" s="3" t="s">
        <v>3755</v>
      </c>
      <c r="AM200" s="3" t="s">
        <v>3132</v>
      </c>
      <c r="AO200" s="106"/>
    </row>
    <row r="201" spans="6:41" x14ac:dyDescent="0.25">
      <c r="F201" s="35" t="s">
        <v>1614</v>
      </c>
      <c r="G201" s="46" t="s">
        <v>13</v>
      </c>
      <c r="H201" s="47" t="s">
        <v>997</v>
      </c>
      <c r="L201" s="3" t="s">
        <v>222</v>
      </c>
      <c r="M201" s="3">
        <v>5554105</v>
      </c>
      <c r="N201" s="3" t="s">
        <v>231</v>
      </c>
      <c r="O201" s="94">
        <v>5572311</v>
      </c>
      <c r="Q201" s="3" t="s">
        <v>221</v>
      </c>
      <c r="R201" s="3" t="s">
        <v>228</v>
      </c>
      <c r="S201" s="3" t="s">
        <v>221</v>
      </c>
      <c r="T201" s="94">
        <v>5458203</v>
      </c>
      <c r="U201" s="3" t="s">
        <v>228</v>
      </c>
      <c r="V201" s="94">
        <v>5458204</v>
      </c>
      <c r="W201" s="93"/>
      <c r="AK201" s="3" t="s">
        <v>3091</v>
      </c>
      <c r="AM201" s="3" t="s">
        <v>3147</v>
      </c>
      <c r="AO201" s="106"/>
    </row>
    <row r="202" spans="6:41" x14ac:dyDescent="0.25">
      <c r="F202" s="35" t="s">
        <v>1614</v>
      </c>
      <c r="G202" s="46" t="s">
        <v>13</v>
      </c>
      <c r="H202" s="47" t="s">
        <v>998</v>
      </c>
      <c r="L202" s="3" t="s">
        <v>225</v>
      </c>
      <c r="M202" s="3">
        <v>5452304</v>
      </c>
      <c r="N202" s="3" t="s">
        <v>234</v>
      </c>
      <c r="O202" s="94">
        <v>3452108</v>
      </c>
      <c r="Q202" s="3" t="s">
        <v>222</v>
      </c>
      <c r="R202" s="3" t="s">
        <v>229</v>
      </c>
      <c r="S202" s="3" t="s">
        <v>222</v>
      </c>
      <c r="T202" s="94">
        <v>5554105</v>
      </c>
      <c r="U202" s="3" t="s">
        <v>229</v>
      </c>
      <c r="V202" s="94">
        <v>5576203</v>
      </c>
      <c r="W202" s="93"/>
      <c r="AK202" s="3" t="s">
        <v>3096</v>
      </c>
      <c r="AM202" s="3" t="s">
        <v>3753</v>
      </c>
      <c r="AO202" s="106"/>
    </row>
    <row r="203" spans="6:41" x14ac:dyDescent="0.25">
      <c r="F203" s="35" t="s">
        <v>1614</v>
      </c>
      <c r="G203" s="46" t="s">
        <v>13</v>
      </c>
      <c r="H203" s="47" t="s">
        <v>999</v>
      </c>
      <c r="L203" s="3" t="s">
        <v>227</v>
      </c>
      <c r="M203" s="3">
        <v>3452301</v>
      </c>
      <c r="N203" s="3" t="s">
        <v>656</v>
      </c>
      <c r="O203" s="94">
        <v>5452105</v>
      </c>
      <c r="Q203" s="3" t="s">
        <v>225</v>
      </c>
      <c r="R203" s="3" t="s">
        <v>718</v>
      </c>
      <c r="S203" s="3" t="s">
        <v>225</v>
      </c>
      <c r="T203" s="94">
        <v>5452304</v>
      </c>
      <c r="U203" s="3" t="s">
        <v>718</v>
      </c>
      <c r="V203" s="94">
        <v>5572317</v>
      </c>
      <c r="W203" s="93"/>
      <c r="AK203" s="3" t="s">
        <v>3160</v>
      </c>
      <c r="AM203" s="3" t="s">
        <v>3493</v>
      </c>
      <c r="AO203" s="106"/>
    </row>
    <row r="204" spans="6:41" x14ac:dyDescent="0.25">
      <c r="F204" s="35" t="s">
        <v>1614</v>
      </c>
      <c r="G204" s="46" t="s">
        <v>13</v>
      </c>
      <c r="H204" s="47" t="s">
        <v>1000</v>
      </c>
      <c r="L204" s="3" t="s">
        <v>228</v>
      </c>
      <c r="M204" s="3">
        <v>5458204</v>
      </c>
      <c r="N204" s="3" t="s">
        <v>237</v>
      </c>
      <c r="O204" s="94">
        <v>3552102</v>
      </c>
      <c r="Q204" s="3" t="s">
        <v>227</v>
      </c>
      <c r="R204" s="3" t="s">
        <v>231</v>
      </c>
      <c r="S204" s="3" t="s">
        <v>227</v>
      </c>
      <c r="T204" s="94">
        <v>3452301</v>
      </c>
      <c r="U204" s="3" t="s">
        <v>231</v>
      </c>
      <c r="V204" s="94">
        <v>5572311</v>
      </c>
      <c r="W204" s="93"/>
      <c r="AK204" s="3" t="s">
        <v>2912</v>
      </c>
      <c r="AM204" s="3" t="s">
        <v>2866</v>
      </c>
      <c r="AO204" s="106"/>
    </row>
    <row r="205" spans="6:41" x14ac:dyDescent="0.25">
      <c r="F205" s="35" t="s">
        <v>1614</v>
      </c>
      <c r="G205" s="46" t="s">
        <v>13</v>
      </c>
      <c r="H205" s="47" t="s">
        <v>1001</v>
      </c>
      <c r="L205" s="3" t="s">
        <v>229</v>
      </c>
      <c r="M205" s="3">
        <v>5576203</v>
      </c>
      <c r="N205" s="3" t="s">
        <v>239</v>
      </c>
      <c r="O205" s="94">
        <v>5462102</v>
      </c>
      <c r="Q205" s="3" t="s">
        <v>228</v>
      </c>
      <c r="R205" s="3" t="s">
        <v>234</v>
      </c>
      <c r="S205" s="3" t="s">
        <v>228</v>
      </c>
      <c r="T205" s="94">
        <v>5458204</v>
      </c>
      <c r="U205" s="3" t="s">
        <v>234</v>
      </c>
      <c r="V205" s="94">
        <v>3452108</v>
      </c>
      <c r="W205" s="93"/>
      <c r="AK205" s="3" t="s">
        <v>2949</v>
      </c>
      <c r="AM205" s="3" t="s">
        <v>2863</v>
      </c>
      <c r="AO205" s="106"/>
    </row>
    <row r="206" spans="6:41" x14ac:dyDescent="0.25">
      <c r="H206" s="38" t="s">
        <v>777</v>
      </c>
      <c r="L206" s="3" t="s">
        <v>231</v>
      </c>
      <c r="M206" s="3">
        <v>5572311</v>
      </c>
      <c r="N206" s="3" t="s">
        <v>271</v>
      </c>
      <c r="O206" s="94">
        <v>5521304</v>
      </c>
      <c r="Q206" s="3" t="s">
        <v>229</v>
      </c>
      <c r="R206" s="3" t="s">
        <v>235</v>
      </c>
      <c r="S206" s="3" t="s">
        <v>229</v>
      </c>
      <c r="T206" s="94">
        <v>5576203</v>
      </c>
      <c r="U206" s="3" t="s">
        <v>235</v>
      </c>
      <c r="V206" s="94">
        <v>5452105</v>
      </c>
      <c r="W206" s="93"/>
      <c r="AK206" s="3" t="s">
        <v>2865</v>
      </c>
      <c r="AM206" s="3" t="s">
        <v>3495</v>
      </c>
      <c r="AO206" s="106"/>
    </row>
    <row r="207" spans="6:41" x14ac:dyDescent="0.25">
      <c r="F207" s="35" t="s">
        <v>1614</v>
      </c>
      <c r="G207" s="46" t="s">
        <v>777</v>
      </c>
      <c r="H207" s="47" t="s">
        <v>1002</v>
      </c>
      <c r="L207" s="3" t="s">
        <v>234</v>
      </c>
      <c r="M207" s="3">
        <v>3452108</v>
      </c>
      <c r="N207" s="3" t="s">
        <v>241</v>
      </c>
      <c r="O207" s="94">
        <v>3454104</v>
      </c>
      <c r="Q207" s="3" t="s">
        <v>718</v>
      </c>
      <c r="R207" s="3" t="s">
        <v>237</v>
      </c>
      <c r="S207" s="3" t="s">
        <v>718</v>
      </c>
      <c r="T207" s="94">
        <v>5572317</v>
      </c>
      <c r="U207" s="3" t="s">
        <v>237</v>
      </c>
      <c r="V207" s="94">
        <v>3552102</v>
      </c>
      <c r="W207" s="93"/>
      <c r="AK207" s="3" t="s">
        <v>3099</v>
      </c>
      <c r="AM207" s="3" t="s">
        <v>3497</v>
      </c>
      <c r="AO207" s="106"/>
    </row>
    <row r="208" spans="6:41" x14ac:dyDescent="0.25">
      <c r="F208" s="35" t="s">
        <v>1614</v>
      </c>
      <c r="G208" s="46" t="s">
        <v>777</v>
      </c>
      <c r="H208" s="47" t="s">
        <v>1003</v>
      </c>
      <c r="L208" s="3" t="s">
        <v>235</v>
      </c>
      <c r="M208" s="3">
        <v>5452105</v>
      </c>
      <c r="N208" s="3" t="s">
        <v>242</v>
      </c>
      <c r="O208" s="94">
        <v>3452507</v>
      </c>
      <c r="Q208" s="3" t="s">
        <v>231</v>
      </c>
      <c r="R208" s="3" t="s">
        <v>239</v>
      </c>
      <c r="S208" s="3" t="s">
        <v>231</v>
      </c>
      <c r="T208" s="94">
        <v>5572311</v>
      </c>
      <c r="U208" s="3" t="s">
        <v>239</v>
      </c>
      <c r="V208" s="94">
        <v>5462102</v>
      </c>
      <c r="W208" s="93"/>
      <c r="AK208" s="3" t="s">
        <v>3555</v>
      </c>
      <c r="AM208" s="3" t="s">
        <v>3622</v>
      </c>
      <c r="AO208" s="106"/>
    </row>
    <row r="209" spans="6:41" x14ac:dyDescent="0.25">
      <c r="F209" s="35" t="s">
        <v>1614</v>
      </c>
      <c r="G209" s="46" t="s">
        <v>777</v>
      </c>
      <c r="H209" s="47" t="s">
        <v>1004</v>
      </c>
      <c r="L209" s="3" t="s">
        <v>237</v>
      </c>
      <c r="M209" s="3">
        <v>3552102</v>
      </c>
      <c r="N209" s="3" t="s">
        <v>243</v>
      </c>
      <c r="O209" s="94">
        <v>5421303</v>
      </c>
      <c r="Q209" s="3" t="s">
        <v>234</v>
      </c>
      <c r="R209" s="3" t="s">
        <v>271</v>
      </c>
      <c r="S209" s="3" t="s">
        <v>234</v>
      </c>
      <c r="T209" s="94">
        <v>3452108</v>
      </c>
      <c r="U209" s="3" t="s">
        <v>271</v>
      </c>
      <c r="V209" s="94">
        <v>5521304</v>
      </c>
      <c r="W209" s="93"/>
      <c r="AK209" s="3" t="s">
        <v>3756</v>
      </c>
      <c r="AM209" s="3" t="s">
        <v>3623</v>
      </c>
      <c r="AO209" s="106"/>
    </row>
    <row r="210" spans="6:41" x14ac:dyDescent="0.25">
      <c r="F210" s="35" t="s">
        <v>1614</v>
      </c>
      <c r="G210" s="46" t="s">
        <v>777</v>
      </c>
      <c r="H210" s="47" t="s">
        <v>1005</v>
      </c>
      <c r="L210" s="3" t="s">
        <v>239</v>
      </c>
      <c r="M210" s="3">
        <v>5462102</v>
      </c>
      <c r="N210" s="3" t="s">
        <v>276</v>
      </c>
      <c r="O210" s="94">
        <v>5521305</v>
      </c>
      <c r="Q210" s="3" t="s">
        <v>235</v>
      </c>
      <c r="R210" s="3" t="s">
        <v>241</v>
      </c>
      <c r="S210" s="3" t="s">
        <v>235</v>
      </c>
      <c r="T210" s="94">
        <v>5452105</v>
      </c>
      <c r="U210" s="3" t="s">
        <v>241</v>
      </c>
      <c r="V210" s="94">
        <v>3454104</v>
      </c>
      <c r="W210" s="93"/>
      <c r="AK210" s="3" t="s">
        <v>3503</v>
      </c>
      <c r="AM210" s="3" t="s">
        <v>3008</v>
      </c>
      <c r="AO210" s="106"/>
    </row>
    <row r="211" spans="6:41" x14ac:dyDescent="0.25">
      <c r="F211" s="35" t="s">
        <v>1614</v>
      </c>
      <c r="G211" s="46" t="s">
        <v>777</v>
      </c>
      <c r="H211" s="47" t="s">
        <v>3426</v>
      </c>
      <c r="L211" s="3" t="s">
        <v>271</v>
      </c>
      <c r="M211" s="3">
        <v>5521304</v>
      </c>
      <c r="N211" s="3" t="s">
        <v>244</v>
      </c>
      <c r="O211" s="94">
        <v>3452109</v>
      </c>
      <c r="Q211" s="3" t="s">
        <v>237</v>
      </c>
      <c r="R211" s="3" t="s">
        <v>242</v>
      </c>
      <c r="S211" s="3" t="s">
        <v>237</v>
      </c>
      <c r="T211" s="94">
        <v>3552102</v>
      </c>
      <c r="U211" s="3" t="s">
        <v>242</v>
      </c>
      <c r="V211" s="94">
        <v>3452507</v>
      </c>
      <c r="W211" s="93"/>
      <c r="AK211" s="3" t="s">
        <v>2947</v>
      </c>
      <c r="AM211" s="3" t="s">
        <v>3624</v>
      </c>
      <c r="AO211" s="106"/>
    </row>
    <row r="212" spans="6:41" x14ac:dyDescent="0.25">
      <c r="F212" s="35" t="s">
        <v>1614</v>
      </c>
      <c r="G212" s="46" t="s">
        <v>777</v>
      </c>
      <c r="H212" s="47" t="s">
        <v>1006</v>
      </c>
      <c r="L212" s="3" t="s">
        <v>241</v>
      </c>
      <c r="M212" s="3">
        <v>3454104</v>
      </c>
      <c r="N212" s="3" t="s">
        <v>245</v>
      </c>
      <c r="O212" s="94">
        <v>5452106</v>
      </c>
      <c r="Q212" s="3" t="s">
        <v>239</v>
      </c>
      <c r="R212" s="3" t="s">
        <v>243</v>
      </c>
      <c r="S212" s="3" t="s">
        <v>239</v>
      </c>
      <c r="T212" s="94">
        <v>5462102</v>
      </c>
      <c r="U212" s="3" t="s">
        <v>243</v>
      </c>
      <c r="V212" s="94">
        <v>5421303</v>
      </c>
      <c r="W212" s="93"/>
      <c r="AK212" s="3" t="s">
        <v>3535</v>
      </c>
      <c r="AM212" s="3" t="s">
        <v>3625</v>
      </c>
      <c r="AO212" s="106"/>
    </row>
    <row r="213" spans="6:41" x14ac:dyDescent="0.25">
      <c r="F213" s="35" t="s">
        <v>1614</v>
      </c>
      <c r="G213" s="46" t="s">
        <v>777</v>
      </c>
      <c r="H213" s="47" t="s">
        <v>1007</v>
      </c>
      <c r="L213" s="3" t="s">
        <v>242</v>
      </c>
      <c r="M213" s="3">
        <v>3452507</v>
      </c>
      <c r="N213" s="3" t="s">
        <v>247</v>
      </c>
      <c r="O213" s="94">
        <v>3554301</v>
      </c>
      <c r="Q213" s="3" t="s">
        <v>271</v>
      </c>
      <c r="R213" s="3" t="s">
        <v>276</v>
      </c>
      <c r="S213" s="3" t="s">
        <v>271</v>
      </c>
      <c r="T213" s="94">
        <v>5521304</v>
      </c>
      <c r="U213" s="3" t="s">
        <v>276</v>
      </c>
      <c r="V213" s="94">
        <v>5521305</v>
      </c>
      <c r="W213" s="93"/>
      <c r="AK213" s="3" t="s">
        <v>237</v>
      </c>
      <c r="AM213" s="3" t="s">
        <v>3009</v>
      </c>
      <c r="AO213" s="106"/>
    </row>
    <row r="214" spans="6:41" x14ac:dyDescent="0.25">
      <c r="F214" s="35" t="s">
        <v>1614</v>
      </c>
      <c r="G214" s="46" t="s">
        <v>777</v>
      </c>
      <c r="H214" s="47" t="s">
        <v>1008</v>
      </c>
      <c r="L214" s="3" t="s">
        <v>243</v>
      </c>
      <c r="M214" s="3">
        <v>5421303</v>
      </c>
      <c r="N214" s="3" t="s">
        <v>249</v>
      </c>
      <c r="O214" s="94">
        <v>5558202</v>
      </c>
      <c r="Q214" s="3" t="s">
        <v>241</v>
      </c>
      <c r="R214" s="3" t="s">
        <v>244</v>
      </c>
      <c r="S214" s="3" t="s">
        <v>241</v>
      </c>
      <c r="T214" s="94">
        <v>3454104</v>
      </c>
      <c r="U214" s="3" t="s">
        <v>244</v>
      </c>
      <c r="V214" s="94">
        <v>3452109</v>
      </c>
      <c r="W214" s="93"/>
      <c r="AK214" s="3" t="s">
        <v>271</v>
      </c>
      <c r="AM214" s="3" t="s">
        <v>3010</v>
      </c>
      <c r="AO214" s="106"/>
    </row>
    <row r="215" spans="6:41" x14ac:dyDescent="0.25">
      <c r="F215" s="35" t="s">
        <v>1614</v>
      </c>
      <c r="G215" s="46" t="s">
        <v>777</v>
      </c>
      <c r="H215" s="47" t="s">
        <v>1009</v>
      </c>
      <c r="L215" s="3" t="s">
        <v>276</v>
      </c>
      <c r="M215" s="3">
        <v>5521305</v>
      </c>
      <c r="N215" s="3" t="s">
        <v>250</v>
      </c>
      <c r="O215" s="94">
        <v>3558204</v>
      </c>
      <c r="Q215" s="3" t="s">
        <v>242</v>
      </c>
      <c r="R215" s="3" t="s">
        <v>245</v>
      </c>
      <c r="S215" s="3" t="s">
        <v>242</v>
      </c>
      <c r="T215" s="94">
        <v>3452507</v>
      </c>
      <c r="U215" s="3" t="s">
        <v>245</v>
      </c>
      <c r="V215" s="94">
        <v>5452106</v>
      </c>
      <c r="W215" s="93"/>
      <c r="AK215" s="3" t="s">
        <v>241</v>
      </c>
      <c r="AM215" s="3" t="s">
        <v>3011</v>
      </c>
      <c r="AO215" s="106"/>
    </row>
    <row r="216" spans="6:41" x14ac:dyDescent="0.25">
      <c r="F216" s="35" t="s">
        <v>1614</v>
      </c>
      <c r="G216" s="46" t="s">
        <v>777</v>
      </c>
      <c r="H216" s="47" t="s">
        <v>1010</v>
      </c>
      <c r="L216" s="3" t="s">
        <v>244</v>
      </c>
      <c r="M216" s="3">
        <v>3452109</v>
      </c>
      <c r="N216" s="3" t="s">
        <v>251</v>
      </c>
      <c r="O216" s="94">
        <v>3558205</v>
      </c>
      <c r="Q216" s="3" t="s">
        <v>243</v>
      </c>
      <c r="R216" s="3" t="s">
        <v>247</v>
      </c>
      <c r="S216" s="3" t="s">
        <v>243</v>
      </c>
      <c r="T216" s="94">
        <v>5421303</v>
      </c>
      <c r="U216" s="3" t="s">
        <v>247</v>
      </c>
      <c r="V216" s="94">
        <v>3554301</v>
      </c>
      <c r="W216" s="93"/>
      <c r="AK216" s="3" t="s">
        <v>2875</v>
      </c>
      <c r="AM216" s="3" t="s">
        <v>3628</v>
      </c>
      <c r="AO216" s="106"/>
    </row>
    <row r="217" spans="6:41" x14ac:dyDescent="0.25">
      <c r="F217" s="35" t="s">
        <v>1614</v>
      </c>
      <c r="G217" s="46" t="s">
        <v>777</v>
      </c>
      <c r="H217" s="47" t="s">
        <v>1011</v>
      </c>
      <c r="L217" s="3" t="s">
        <v>245</v>
      </c>
      <c r="M217" s="3">
        <v>5452106</v>
      </c>
      <c r="N217" s="3" t="s">
        <v>252</v>
      </c>
      <c r="O217" s="94">
        <v>5448105</v>
      </c>
      <c r="Q217" s="3" t="s">
        <v>276</v>
      </c>
      <c r="R217" s="3" t="s">
        <v>249</v>
      </c>
      <c r="S217" s="3" t="s">
        <v>276</v>
      </c>
      <c r="T217" s="94">
        <v>5521305</v>
      </c>
      <c r="U217" s="3" t="s">
        <v>249</v>
      </c>
      <c r="V217" s="94">
        <v>5558202</v>
      </c>
      <c r="W217" s="93"/>
      <c r="AK217" s="3" t="s">
        <v>276</v>
      </c>
      <c r="AM217" s="3" t="s">
        <v>2945</v>
      </c>
      <c r="AO217" s="106"/>
    </row>
    <row r="218" spans="6:41" x14ac:dyDescent="0.25">
      <c r="F218" s="35" t="s">
        <v>1614</v>
      </c>
      <c r="G218" s="46" t="s">
        <v>777</v>
      </c>
      <c r="H218" s="47" t="s">
        <v>1012</v>
      </c>
      <c r="L218" s="3" t="s">
        <v>247</v>
      </c>
      <c r="M218" s="3">
        <v>3554301</v>
      </c>
      <c r="N218" s="3" t="s">
        <v>254</v>
      </c>
      <c r="O218" s="94">
        <v>5552403</v>
      </c>
      <c r="Q218" s="3" t="s">
        <v>244</v>
      </c>
      <c r="R218" s="3" t="s">
        <v>250</v>
      </c>
      <c r="S218" s="3" t="s">
        <v>244</v>
      </c>
      <c r="T218" s="94">
        <v>3452109</v>
      </c>
      <c r="U218" s="3" t="s">
        <v>250</v>
      </c>
      <c r="V218" s="94">
        <v>3558204</v>
      </c>
      <c r="W218" s="93"/>
      <c r="AK218" s="3" t="s">
        <v>3730</v>
      </c>
      <c r="AM218" s="3" t="s">
        <v>2954</v>
      </c>
      <c r="AO218" s="106"/>
    </row>
    <row r="219" spans="6:41" x14ac:dyDescent="0.25">
      <c r="F219" s="35" t="s">
        <v>1614</v>
      </c>
      <c r="G219" s="46" t="s">
        <v>777</v>
      </c>
      <c r="H219" s="47" t="s">
        <v>1013</v>
      </c>
      <c r="L219" s="3" t="s">
        <v>249</v>
      </c>
      <c r="M219" s="3">
        <v>5558202</v>
      </c>
      <c r="N219" s="3" t="s">
        <v>283</v>
      </c>
      <c r="O219" s="94">
        <v>5421110</v>
      </c>
      <c r="Q219" s="3" t="s">
        <v>245</v>
      </c>
      <c r="R219" s="3" t="s">
        <v>251</v>
      </c>
      <c r="S219" s="3" t="s">
        <v>245</v>
      </c>
      <c r="T219" s="94">
        <v>5452106</v>
      </c>
      <c r="U219" s="3" t="s">
        <v>251</v>
      </c>
      <c r="V219" s="94">
        <v>3558205</v>
      </c>
      <c r="W219" s="93"/>
      <c r="AK219" s="3" t="s">
        <v>3536</v>
      </c>
      <c r="AM219" s="3" t="s">
        <v>2948</v>
      </c>
      <c r="AO219" s="106"/>
    </row>
    <row r="220" spans="6:41" x14ac:dyDescent="0.25">
      <c r="F220" s="35" t="s">
        <v>1614</v>
      </c>
      <c r="G220" s="46" t="s">
        <v>777</v>
      </c>
      <c r="H220" s="47" t="s">
        <v>1014</v>
      </c>
      <c r="L220" s="3" t="s">
        <v>250</v>
      </c>
      <c r="M220" s="3">
        <v>3558204</v>
      </c>
      <c r="N220" s="3" t="s">
        <v>255</v>
      </c>
      <c r="O220" s="94">
        <v>3421501</v>
      </c>
      <c r="Q220" s="3" t="s">
        <v>247</v>
      </c>
      <c r="R220" s="3" t="s">
        <v>252</v>
      </c>
      <c r="S220" s="3" t="s">
        <v>247</v>
      </c>
      <c r="T220" s="94">
        <v>3554301</v>
      </c>
      <c r="U220" s="3" t="s">
        <v>252</v>
      </c>
      <c r="V220" s="94">
        <v>5448105</v>
      </c>
      <c r="W220" s="93"/>
      <c r="AK220" s="3" t="s">
        <v>3553</v>
      </c>
      <c r="AM220" s="3" t="s">
        <v>3534</v>
      </c>
      <c r="AO220" s="106"/>
    </row>
    <row r="221" spans="6:41" x14ac:dyDescent="0.25">
      <c r="F221" s="35" t="s">
        <v>1614</v>
      </c>
      <c r="G221" s="46" t="s">
        <v>777</v>
      </c>
      <c r="H221" s="47" t="s">
        <v>1015</v>
      </c>
      <c r="L221" s="3" t="s">
        <v>251</v>
      </c>
      <c r="M221" s="3">
        <v>3558205</v>
      </c>
      <c r="N221" s="3" t="s">
        <v>286</v>
      </c>
      <c r="O221" s="94">
        <v>5521206</v>
      </c>
      <c r="Q221" s="3" t="s">
        <v>249</v>
      </c>
      <c r="R221" s="3" t="s">
        <v>254</v>
      </c>
      <c r="S221" s="3" t="s">
        <v>249</v>
      </c>
      <c r="T221" s="94">
        <v>5558202</v>
      </c>
      <c r="U221" s="3" t="s">
        <v>254</v>
      </c>
      <c r="V221" s="94">
        <v>5552403</v>
      </c>
      <c r="W221" s="93"/>
      <c r="AK221" s="3" t="s">
        <v>2915</v>
      </c>
      <c r="AM221" s="3" t="s">
        <v>3754</v>
      </c>
      <c r="AO221" s="106"/>
    </row>
    <row r="222" spans="6:41" x14ac:dyDescent="0.25">
      <c r="F222" s="35" t="s">
        <v>1614</v>
      </c>
      <c r="G222" s="46" t="s">
        <v>777</v>
      </c>
      <c r="H222" s="47" t="s">
        <v>1016</v>
      </c>
      <c r="L222" s="3" t="s">
        <v>252</v>
      </c>
      <c r="M222" s="3">
        <v>5448105</v>
      </c>
      <c r="N222" s="3" t="s">
        <v>287</v>
      </c>
      <c r="O222" s="94">
        <v>5421206</v>
      </c>
      <c r="Q222" s="3" t="s">
        <v>250</v>
      </c>
      <c r="R222" s="3" t="s">
        <v>283</v>
      </c>
      <c r="S222" s="3" t="s">
        <v>250</v>
      </c>
      <c r="T222" s="94">
        <v>3558204</v>
      </c>
      <c r="U222" s="3" t="s">
        <v>283</v>
      </c>
      <c r="V222" s="94">
        <v>5421110</v>
      </c>
      <c r="W222" s="93"/>
      <c r="AK222" s="3" t="s">
        <v>3522</v>
      </c>
      <c r="AM222" s="3" t="s">
        <v>2862</v>
      </c>
      <c r="AO222" s="106"/>
    </row>
    <row r="223" spans="6:41" x14ac:dyDescent="0.25">
      <c r="F223" s="35" t="s">
        <v>1614</v>
      </c>
      <c r="G223" s="46" t="s">
        <v>777</v>
      </c>
      <c r="H223" s="47" t="s">
        <v>1017</v>
      </c>
      <c r="L223" s="3" t="s">
        <v>254</v>
      </c>
      <c r="M223" s="3">
        <v>5552403</v>
      </c>
      <c r="N223" s="3" t="s">
        <v>257</v>
      </c>
      <c r="O223" s="94">
        <v>3454206</v>
      </c>
      <c r="Q223" s="3" t="s">
        <v>251</v>
      </c>
      <c r="R223" s="3" t="s">
        <v>255</v>
      </c>
      <c r="S223" s="3" t="s">
        <v>251</v>
      </c>
      <c r="T223" s="94">
        <v>3558205</v>
      </c>
      <c r="U223" s="3" t="s">
        <v>255</v>
      </c>
      <c r="V223" s="94">
        <v>3421501</v>
      </c>
      <c r="W223" s="93"/>
      <c r="AK223" s="3" t="s">
        <v>250</v>
      </c>
      <c r="AM223" s="3" t="s">
        <v>2861</v>
      </c>
      <c r="AO223" s="106"/>
    </row>
    <row r="224" spans="6:41" x14ac:dyDescent="0.25">
      <c r="F224" s="35" t="s">
        <v>1614</v>
      </c>
      <c r="G224" s="46" t="s">
        <v>777</v>
      </c>
      <c r="H224" s="47" t="s">
        <v>1018</v>
      </c>
      <c r="L224" s="3" t="s">
        <v>283</v>
      </c>
      <c r="M224" s="3">
        <v>5421110</v>
      </c>
      <c r="N224" s="3" t="s">
        <v>258</v>
      </c>
      <c r="O224" s="94">
        <v>5562102</v>
      </c>
      <c r="Q224" s="3" t="s">
        <v>252</v>
      </c>
      <c r="R224" s="3" t="s">
        <v>286</v>
      </c>
      <c r="S224" s="3" t="s">
        <v>252</v>
      </c>
      <c r="T224" s="94">
        <v>5448105</v>
      </c>
      <c r="U224" s="3" t="s">
        <v>286</v>
      </c>
      <c r="V224" s="94">
        <v>5521206</v>
      </c>
      <c r="W224" s="93"/>
      <c r="AK224" s="3" t="s">
        <v>251</v>
      </c>
      <c r="AM224" s="3" t="s">
        <v>3501</v>
      </c>
      <c r="AO224" s="106"/>
    </row>
    <row r="225" spans="6:41" x14ac:dyDescent="0.25">
      <c r="F225" s="35" t="s">
        <v>1614</v>
      </c>
      <c r="G225" s="46" t="s">
        <v>777</v>
      </c>
      <c r="H225" s="47" t="s">
        <v>1019</v>
      </c>
      <c r="L225" s="3" t="s">
        <v>255</v>
      </c>
      <c r="M225" s="3">
        <v>3421501</v>
      </c>
      <c r="N225" s="3" t="s">
        <v>260</v>
      </c>
      <c r="O225" s="94">
        <v>5585003</v>
      </c>
      <c r="Q225" s="3" t="s">
        <v>254</v>
      </c>
      <c r="R225" s="3" t="s">
        <v>287</v>
      </c>
      <c r="S225" s="3" t="s">
        <v>254</v>
      </c>
      <c r="T225" s="94">
        <v>5552403</v>
      </c>
      <c r="U225" s="3" t="s">
        <v>287</v>
      </c>
      <c r="V225" s="94">
        <v>5421206</v>
      </c>
      <c r="W225" s="93"/>
      <c r="AK225" s="3" t="s">
        <v>2929</v>
      </c>
      <c r="AM225" s="3" t="s">
        <v>3729</v>
      </c>
      <c r="AO225" s="106"/>
    </row>
    <row r="226" spans="6:41" x14ac:dyDescent="0.25">
      <c r="H226" s="38" t="s">
        <v>14</v>
      </c>
      <c r="L226" s="3" t="s">
        <v>286</v>
      </c>
      <c r="M226" s="3">
        <v>5521206</v>
      </c>
      <c r="N226" s="3" t="s">
        <v>292</v>
      </c>
      <c r="O226" s="94">
        <v>5421307</v>
      </c>
      <c r="Q226" s="3" t="s">
        <v>283</v>
      </c>
      <c r="R226" s="3" t="s">
        <v>257</v>
      </c>
      <c r="S226" s="3" t="s">
        <v>283</v>
      </c>
      <c r="T226" s="94">
        <v>5421110</v>
      </c>
      <c r="U226" s="3" t="s">
        <v>257</v>
      </c>
      <c r="V226" s="94">
        <v>3454206</v>
      </c>
      <c r="W226" s="93"/>
      <c r="AK226" s="3" t="s">
        <v>3109</v>
      </c>
      <c r="AM226" s="3" t="s">
        <v>3755</v>
      </c>
      <c r="AO226" s="106"/>
    </row>
    <row r="227" spans="6:41" x14ac:dyDescent="0.25">
      <c r="F227" s="35" t="s">
        <v>1614</v>
      </c>
      <c r="G227" s="46" t="s">
        <v>14</v>
      </c>
      <c r="H227" s="47" t="s">
        <v>1020</v>
      </c>
      <c r="L227" s="3" t="s">
        <v>287</v>
      </c>
      <c r="M227" s="3">
        <v>5421206</v>
      </c>
      <c r="N227" s="3" t="s">
        <v>657</v>
      </c>
      <c r="O227" s="94">
        <v>3472501</v>
      </c>
      <c r="Q227" s="3" t="s">
        <v>255</v>
      </c>
      <c r="R227" s="3" t="s">
        <v>258</v>
      </c>
      <c r="S227" s="3" t="s">
        <v>255</v>
      </c>
      <c r="T227" s="94">
        <v>3421501</v>
      </c>
      <c r="U227" s="3" t="s">
        <v>258</v>
      </c>
      <c r="V227" s="94">
        <v>5562102</v>
      </c>
      <c r="W227" s="93"/>
      <c r="AK227" s="3" t="s">
        <v>254</v>
      </c>
      <c r="AM227" s="3" t="s">
        <v>3091</v>
      </c>
      <c r="AO227" s="106"/>
    </row>
    <row r="228" spans="6:41" x14ac:dyDescent="0.25">
      <c r="F228" s="35" t="s">
        <v>1614</v>
      </c>
      <c r="G228" s="46" t="s">
        <v>14</v>
      </c>
      <c r="H228" s="47" t="s">
        <v>1021</v>
      </c>
      <c r="L228" s="3" t="s">
        <v>257</v>
      </c>
      <c r="M228" s="3">
        <v>3454206</v>
      </c>
      <c r="N228" s="3" t="s">
        <v>262</v>
      </c>
      <c r="O228" s="94">
        <v>5472602</v>
      </c>
      <c r="Q228" s="3" t="s">
        <v>286</v>
      </c>
      <c r="R228" s="3" t="s">
        <v>260</v>
      </c>
      <c r="S228" s="3" t="s">
        <v>286</v>
      </c>
      <c r="T228" s="94">
        <v>5521206</v>
      </c>
      <c r="U228" s="3" t="s">
        <v>260</v>
      </c>
      <c r="V228" s="94">
        <v>5585003</v>
      </c>
      <c r="W228" s="93"/>
      <c r="AK228" s="3" t="s">
        <v>3112</v>
      </c>
      <c r="AM228" s="3" t="s">
        <v>3096</v>
      </c>
      <c r="AO228" s="106"/>
    </row>
    <row r="229" spans="6:41" x14ac:dyDescent="0.25">
      <c r="F229" s="35" t="s">
        <v>1614</v>
      </c>
      <c r="G229" s="46" t="s">
        <v>14</v>
      </c>
      <c r="H229" s="47" t="s">
        <v>1022</v>
      </c>
      <c r="L229" s="3" t="s">
        <v>258</v>
      </c>
      <c r="M229" s="3">
        <v>5562102</v>
      </c>
      <c r="N229" s="3" t="s">
        <v>263</v>
      </c>
      <c r="O229" s="94">
        <v>5552304</v>
      </c>
      <c r="Q229" s="3" t="s">
        <v>287</v>
      </c>
      <c r="R229" s="3" t="s">
        <v>292</v>
      </c>
      <c r="S229" s="3" t="s">
        <v>287</v>
      </c>
      <c r="T229" s="94">
        <v>5421206</v>
      </c>
      <c r="U229" s="3" t="s">
        <v>292</v>
      </c>
      <c r="V229" s="94">
        <v>5421307</v>
      </c>
      <c r="W229" s="93"/>
      <c r="AK229" s="3" t="s">
        <v>2956</v>
      </c>
      <c r="AM229" s="3" t="s">
        <v>3160</v>
      </c>
      <c r="AO229" s="106"/>
    </row>
    <row r="230" spans="6:41" x14ac:dyDescent="0.25">
      <c r="F230" s="35" t="s">
        <v>1614</v>
      </c>
      <c r="G230" s="46" t="s">
        <v>14</v>
      </c>
      <c r="H230" s="47" t="s">
        <v>1023</v>
      </c>
      <c r="L230" s="3" t="s">
        <v>260</v>
      </c>
      <c r="M230" s="3">
        <v>5585003</v>
      </c>
      <c r="N230" s="3" t="s">
        <v>296</v>
      </c>
      <c r="O230" s="94">
        <v>5421106</v>
      </c>
      <c r="Q230" s="3" t="s">
        <v>257</v>
      </c>
      <c r="R230" s="3" t="s">
        <v>261</v>
      </c>
      <c r="S230" s="3" t="s">
        <v>257</v>
      </c>
      <c r="T230" s="94">
        <v>3454206</v>
      </c>
      <c r="U230" s="3" t="s">
        <v>261</v>
      </c>
      <c r="V230" s="94">
        <v>3472501</v>
      </c>
      <c r="W230" s="93"/>
      <c r="AK230" s="3" t="s">
        <v>2955</v>
      </c>
      <c r="AM230" s="3" t="s">
        <v>2912</v>
      </c>
      <c r="AO230" s="106"/>
    </row>
    <row r="231" spans="6:41" x14ac:dyDescent="0.25">
      <c r="F231" s="35" t="s">
        <v>1614</v>
      </c>
      <c r="G231" s="46" t="s">
        <v>14</v>
      </c>
      <c r="H231" s="47" t="s">
        <v>1024</v>
      </c>
      <c r="L231" s="3" t="s">
        <v>292</v>
      </c>
      <c r="M231" s="3">
        <v>5421307</v>
      </c>
      <c r="N231" s="3" t="s">
        <v>264</v>
      </c>
      <c r="O231" s="94">
        <v>5421207</v>
      </c>
      <c r="Q231" s="3" t="s">
        <v>258</v>
      </c>
      <c r="R231" s="3" t="s">
        <v>262</v>
      </c>
      <c r="S231" s="3" t="s">
        <v>258</v>
      </c>
      <c r="T231" s="94">
        <v>5562102</v>
      </c>
      <c r="U231" s="3" t="s">
        <v>262</v>
      </c>
      <c r="V231" s="94">
        <v>5472602</v>
      </c>
      <c r="W231" s="93"/>
      <c r="AK231" s="3" t="s">
        <v>3519</v>
      </c>
      <c r="AM231" s="3" t="s">
        <v>2949</v>
      </c>
      <c r="AO231" s="106"/>
    </row>
    <row r="232" spans="6:41" x14ac:dyDescent="0.25">
      <c r="F232" s="35" t="s">
        <v>1614</v>
      </c>
      <c r="G232" s="46" t="s">
        <v>14</v>
      </c>
      <c r="H232" s="47" t="s">
        <v>1025</v>
      </c>
      <c r="L232" s="3" t="s">
        <v>261</v>
      </c>
      <c r="M232" s="3">
        <v>3472501</v>
      </c>
      <c r="N232" s="3" t="s">
        <v>265</v>
      </c>
      <c r="O232" s="94">
        <v>5552404</v>
      </c>
      <c r="Q232" s="3" t="s">
        <v>260</v>
      </c>
      <c r="R232" s="3" t="s">
        <v>263</v>
      </c>
      <c r="S232" s="3" t="s">
        <v>260</v>
      </c>
      <c r="T232" s="94">
        <v>5585003</v>
      </c>
      <c r="U232" s="3" t="s">
        <v>263</v>
      </c>
      <c r="V232" s="94">
        <v>5552304</v>
      </c>
      <c r="W232" s="93"/>
      <c r="AK232" s="3" t="s">
        <v>3629</v>
      </c>
      <c r="AM232" s="3" t="s">
        <v>2865</v>
      </c>
      <c r="AO232" s="106"/>
    </row>
    <row r="233" spans="6:41" x14ac:dyDescent="0.25">
      <c r="H233" s="38" t="s">
        <v>15</v>
      </c>
      <c r="L233" s="3" t="s">
        <v>262</v>
      </c>
      <c r="M233" s="3">
        <v>5472602</v>
      </c>
      <c r="N233" s="3" t="s">
        <v>266</v>
      </c>
      <c r="O233" s="94">
        <v>5458102</v>
      </c>
      <c r="Q233" s="3" t="s">
        <v>292</v>
      </c>
      <c r="R233" s="3" t="s">
        <v>296</v>
      </c>
      <c r="S233" s="3" t="s">
        <v>292</v>
      </c>
      <c r="T233" s="94">
        <v>5421307</v>
      </c>
      <c r="U233" s="3" t="s">
        <v>296</v>
      </c>
      <c r="V233" s="94">
        <v>5421106</v>
      </c>
      <c r="W233" s="93"/>
      <c r="AK233" s="3" t="s">
        <v>2957</v>
      </c>
      <c r="AM233" s="3" t="s">
        <v>3099</v>
      </c>
      <c r="AO233" s="106"/>
    </row>
    <row r="234" spans="6:41" x14ac:dyDescent="0.25">
      <c r="F234" s="35" t="s">
        <v>1614</v>
      </c>
      <c r="G234" s="46" t="s">
        <v>15</v>
      </c>
      <c r="H234" s="47" t="s">
        <v>1026</v>
      </c>
      <c r="L234" s="3" t="s">
        <v>263</v>
      </c>
      <c r="M234" s="3">
        <v>5552304</v>
      </c>
      <c r="N234" s="3" t="s">
        <v>267</v>
      </c>
      <c r="O234" s="94">
        <v>3552103</v>
      </c>
      <c r="Q234" s="3" t="s">
        <v>261</v>
      </c>
      <c r="R234" s="3" t="s">
        <v>264</v>
      </c>
      <c r="S234" s="3" t="s">
        <v>261</v>
      </c>
      <c r="T234" s="94">
        <v>3472501</v>
      </c>
      <c r="U234" s="3" t="s">
        <v>264</v>
      </c>
      <c r="V234" s="94">
        <v>5421207</v>
      </c>
      <c r="W234" s="93"/>
      <c r="AK234" s="3" t="s">
        <v>3630</v>
      </c>
      <c r="AM234" s="3" t="s">
        <v>3555</v>
      </c>
      <c r="AO234" s="106"/>
    </row>
    <row r="235" spans="6:41" x14ac:dyDescent="0.25">
      <c r="F235" s="35" t="s">
        <v>1614</v>
      </c>
      <c r="G235" s="46" t="s">
        <v>15</v>
      </c>
      <c r="H235" s="47" t="s">
        <v>1027</v>
      </c>
      <c r="L235" s="3" t="s">
        <v>296</v>
      </c>
      <c r="M235" s="3">
        <v>5421106</v>
      </c>
      <c r="N235" s="3" t="s">
        <v>268</v>
      </c>
      <c r="O235" s="94">
        <v>5414002</v>
      </c>
      <c r="Q235" s="3" t="s">
        <v>262</v>
      </c>
      <c r="R235" s="3" t="s">
        <v>265</v>
      </c>
      <c r="S235" s="3" t="s">
        <v>262</v>
      </c>
      <c r="T235" s="94">
        <v>5472602</v>
      </c>
      <c r="U235" s="3" t="s">
        <v>265</v>
      </c>
      <c r="V235" s="94">
        <v>5552404</v>
      </c>
      <c r="W235" s="93"/>
      <c r="AK235" s="3" t="s">
        <v>3631</v>
      </c>
      <c r="AM235" s="3" t="s">
        <v>3756</v>
      </c>
      <c r="AO235" s="106"/>
    </row>
    <row r="236" spans="6:41" x14ac:dyDescent="0.25">
      <c r="F236" s="35" t="s">
        <v>1614</v>
      </c>
      <c r="G236" s="46" t="s">
        <v>15</v>
      </c>
      <c r="H236" s="47" t="s">
        <v>1028</v>
      </c>
      <c r="L236" s="3" t="s">
        <v>264</v>
      </c>
      <c r="M236" s="3">
        <v>5421207</v>
      </c>
      <c r="N236" s="3" t="s">
        <v>269</v>
      </c>
      <c r="O236" s="94">
        <v>3454105</v>
      </c>
      <c r="Q236" s="3" t="s">
        <v>263</v>
      </c>
      <c r="R236" s="3" t="s">
        <v>266</v>
      </c>
      <c r="S236" s="3" t="s">
        <v>263</v>
      </c>
      <c r="T236" s="94">
        <v>5552304</v>
      </c>
      <c r="U236" s="3" t="s">
        <v>266</v>
      </c>
      <c r="V236" s="94">
        <v>5458102</v>
      </c>
      <c r="W236" s="93"/>
      <c r="AK236" s="3" t="s">
        <v>2962</v>
      </c>
      <c r="AM236" s="3" t="s">
        <v>3503</v>
      </c>
      <c r="AO236" s="106"/>
    </row>
    <row r="237" spans="6:41" x14ac:dyDescent="0.25">
      <c r="F237" s="35" t="s">
        <v>1614</v>
      </c>
      <c r="G237" s="46" t="s">
        <v>15</v>
      </c>
      <c r="H237" s="47" t="s">
        <v>1029</v>
      </c>
      <c r="L237" s="3" t="s">
        <v>265</v>
      </c>
      <c r="M237" s="3">
        <v>5552404</v>
      </c>
      <c r="N237" s="3" t="s">
        <v>270</v>
      </c>
      <c r="O237" s="94">
        <v>5434301</v>
      </c>
      <c r="Q237" s="3" t="s">
        <v>296</v>
      </c>
      <c r="R237" s="3" t="s">
        <v>267</v>
      </c>
      <c r="S237" s="3" t="s">
        <v>296</v>
      </c>
      <c r="T237" s="94">
        <v>5421106</v>
      </c>
      <c r="U237" s="3" t="s">
        <v>267</v>
      </c>
      <c r="V237" s="94">
        <v>3552103</v>
      </c>
      <c r="W237" s="93"/>
      <c r="AK237" s="3" t="s">
        <v>2959</v>
      </c>
      <c r="AM237" s="3" t="s">
        <v>2947</v>
      </c>
      <c r="AO237" s="106"/>
    </row>
    <row r="238" spans="6:41" x14ac:dyDescent="0.25">
      <c r="F238" s="35" t="s">
        <v>1614</v>
      </c>
      <c r="G238" s="46" t="s">
        <v>15</v>
      </c>
      <c r="H238" s="47" t="s">
        <v>1030</v>
      </c>
      <c r="L238" s="3" t="s">
        <v>266</v>
      </c>
      <c r="M238" s="3">
        <v>5458102</v>
      </c>
      <c r="N238" s="3" t="s">
        <v>272</v>
      </c>
      <c r="O238" s="94">
        <v>5434401</v>
      </c>
      <c r="Q238" s="3" t="s">
        <v>264</v>
      </c>
      <c r="R238" s="3" t="s">
        <v>268</v>
      </c>
      <c r="S238" s="3" t="s">
        <v>264</v>
      </c>
      <c r="T238" s="94">
        <v>5421207</v>
      </c>
      <c r="U238" s="3" t="s">
        <v>268</v>
      </c>
      <c r="V238" s="94">
        <v>5414002</v>
      </c>
      <c r="W238" s="93"/>
      <c r="AK238" s="3" t="s">
        <v>2963</v>
      </c>
      <c r="AM238" s="3" t="s">
        <v>3535</v>
      </c>
      <c r="AO238" s="106"/>
    </row>
    <row r="239" spans="6:41" x14ac:dyDescent="0.25">
      <c r="F239" s="35" t="s">
        <v>1614</v>
      </c>
      <c r="G239" s="46" t="s">
        <v>15</v>
      </c>
      <c r="H239" s="47" t="s">
        <v>1031</v>
      </c>
      <c r="L239" s="3" t="s">
        <v>267</v>
      </c>
      <c r="M239" s="3">
        <v>3552103</v>
      </c>
      <c r="N239" s="3" t="s">
        <v>303</v>
      </c>
      <c r="O239" s="94">
        <v>5472004</v>
      </c>
      <c r="Q239" s="3" t="s">
        <v>265</v>
      </c>
      <c r="R239" s="3" t="s">
        <v>269</v>
      </c>
      <c r="S239" s="3" t="s">
        <v>265</v>
      </c>
      <c r="T239" s="94">
        <v>5552404</v>
      </c>
      <c r="U239" s="3" t="s">
        <v>269</v>
      </c>
      <c r="V239" s="94">
        <v>3454105</v>
      </c>
      <c r="W239" s="93"/>
      <c r="AK239" s="3" t="s">
        <v>3632</v>
      </c>
      <c r="AM239" s="3" t="s">
        <v>237</v>
      </c>
      <c r="AO239" s="106"/>
    </row>
    <row r="240" spans="6:41" x14ac:dyDescent="0.25">
      <c r="F240" s="35" t="s">
        <v>1614</v>
      </c>
      <c r="G240" s="46" t="s">
        <v>15</v>
      </c>
      <c r="H240" s="47" t="s">
        <v>1032</v>
      </c>
      <c r="L240" s="3" t="s">
        <v>268</v>
      </c>
      <c r="M240" s="3">
        <v>5414002</v>
      </c>
      <c r="N240" s="3" t="s">
        <v>273</v>
      </c>
      <c r="O240" s="94">
        <v>3481103</v>
      </c>
      <c r="Q240" s="3" t="s">
        <v>266</v>
      </c>
      <c r="R240" s="3" t="s">
        <v>719</v>
      </c>
      <c r="S240" s="3" t="s">
        <v>266</v>
      </c>
      <c r="T240" s="94">
        <v>5458102</v>
      </c>
      <c r="U240" s="3" t="s">
        <v>719</v>
      </c>
      <c r="V240" s="94">
        <v>3454111</v>
      </c>
      <c r="W240" s="93"/>
      <c r="AK240" s="3" t="s">
        <v>3633</v>
      </c>
      <c r="AM240" s="3" t="s">
        <v>271</v>
      </c>
      <c r="AO240" s="106"/>
    </row>
    <row r="241" spans="6:41" x14ac:dyDescent="0.25">
      <c r="F241" s="35" t="s">
        <v>1614</v>
      </c>
      <c r="G241" s="46" t="s">
        <v>15</v>
      </c>
      <c r="H241" s="20" t="s">
        <v>1033</v>
      </c>
      <c r="L241" s="3" t="s">
        <v>269</v>
      </c>
      <c r="M241" s="3">
        <v>3454105</v>
      </c>
      <c r="N241" s="3" t="s">
        <v>274</v>
      </c>
      <c r="O241" s="94">
        <v>5484109</v>
      </c>
      <c r="Q241" s="3" t="s">
        <v>267</v>
      </c>
      <c r="R241" s="3" t="s">
        <v>270</v>
      </c>
      <c r="S241" s="3" t="s">
        <v>267</v>
      </c>
      <c r="T241" s="94">
        <v>3552103</v>
      </c>
      <c r="U241" s="3" t="s">
        <v>270</v>
      </c>
      <c r="V241" s="94">
        <v>5434301</v>
      </c>
      <c r="W241" s="93"/>
      <c r="AK241" s="3" t="s">
        <v>2958</v>
      </c>
      <c r="AM241" s="3" t="s">
        <v>241</v>
      </c>
      <c r="AO241" s="106"/>
    </row>
    <row r="242" spans="6:41" x14ac:dyDescent="0.25">
      <c r="H242" s="38" t="s">
        <v>16</v>
      </c>
      <c r="L242" s="3" t="s">
        <v>270</v>
      </c>
      <c r="M242" s="3">
        <v>5434301</v>
      </c>
      <c r="N242" s="3" t="s">
        <v>275</v>
      </c>
      <c r="O242" s="94">
        <v>5576204</v>
      </c>
      <c r="Q242" s="3" t="s">
        <v>268</v>
      </c>
      <c r="R242" s="3" t="s">
        <v>272</v>
      </c>
      <c r="S242" s="3" t="s">
        <v>268</v>
      </c>
      <c r="T242" s="94">
        <v>5414002</v>
      </c>
      <c r="U242" s="3" t="s">
        <v>272</v>
      </c>
      <c r="V242" s="94">
        <v>5434401</v>
      </c>
      <c r="W242" s="93"/>
      <c r="AK242" s="3" t="s">
        <v>2960</v>
      </c>
      <c r="AM242" s="3" t="s">
        <v>2875</v>
      </c>
      <c r="AO242" s="106"/>
    </row>
    <row r="243" spans="6:41" x14ac:dyDescent="0.25">
      <c r="F243" s="35" t="s">
        <v>1614</v>
      </c>
      <c r="G243" s="46" t="s">
        <v>16</v>
      </c>
      <c r="H243" s="47" t="s">
        <v>1034</v>
      </c>
      <c r="L243" s="3" t="s">
        <v>272</v>
      </c>
      <c r="M243" s="3">
        <v>5434401</v>
      </c>
      <c r="N243" s="3" t="s">
        <v>308</v>
      </c>
      <c r="O243" s="94">
        <v>5472509</v>
      </c>
      <c r="Q243" s="3" t="s">
        <v>269</v>
      </c>
      <c r="R243" s="3" t="s">
        <v>303</v>
      </c>
      <c r="S243" s="3" t="s">
        <v>269</v>
      </c>
      <c r="T243" s="94">
        <v>3454105</v>
      </c>
      <c r="U243" s="3" t="s">
        <v>303</v>
      </c>
      <c r="V243" s="94">
        <v>5472004</v>
      </c>
      <c r="W243" s="93"/>
      <c r="AK243" s="3" t="s">
        <v>2964</v>
      </c>
      <c r="AM243" s="3" t="s">
        <v>276</v>
      </c>
      <c r="AO243" s="106"/>
    </row>
    <row r="244" spans="6:41" x14ac:dyDescent="0.25">
      <c r="F244" s="35" t="s">
        <v>1614</v>
      </c>
      <c r="G244" s="46" t="s">
        <v>16</v>
      </c>
      <c r="H244" s="47" t="s">
        <v>1035</v>
      </c>
      <c r="L244" s="3" t="s">
        <v>303</v>
      </c>
      <c r="M244" s="3">
        <v>5472004</v>
      </c>
      <c r="N244" s="3" t="s">
        <v>277</v>
      </c>
      <c r="O244" s="94">
        <v>5476201</v>
      </c>
      <c r="Q244" s="3" t="s">
        <v>719</v>
      </c>
      <c r="R244" s="3" t="s">
        <v>273</v>
      </c>
      <c r="S244" s="3" t="s">
        <v>719</v>
      </c>
      <c r="T244" s="94">
        <v>3454111</v>
      </c>
      <c r="U244" s="3" t="s">
        <v>273</v>
      </c>
      <c r="V244" s="94">
        <v>3481103</v>
      </c>
      <c r="W244" s="93"/>
      <c r="AK244" s="3" t="s">
        <v>2965</v>
      </c>
      <c r="AM244" s="3" t="s">
        <v>3730</v>
      </c>
      <c r="AO244" s="106"/>
    </row>
    <row r="245" spans="6:41" x14ac:dyDescent="0.25">
      <c r="F245" s="35" t="s">
        <v>1614</v>
      </c>
      <c r="G245" s="46" t="s">
        <v>16</v>
      </c>
      <c r="H245" s="47" t="s">
        <v>1036</v>
      </c>
      <c r="L245" s="3" t="s">
        <v>273</v>
      </c>
      <c r="M245" s="3">
        <v>3481103</v>
      </c>
      <c r="N245" s="3" t="s">
        <v>278</v>
      </c>
      <c r="O245" s="94">
        <v>3558206</v>
      </c>
      <c r="Q245" s="3" t="s">
        <v>270</v>
      </c>
      <c r="R245" s="3" t="s">
        <v>274</v>
      </c>
      <c r="S245" s="3" t="s">
        <v>270</v>
      </c>
      <c r="T245" s="94">
        <v>5434301</v>
      </c>
      <c r="U245" s="3" t="s">
        <v>274</v>
      </c>
      <c r="V245" s="94">
        <v>5484109</v>
      </c>
      <c r="W245" s="93"/>
      <c r="AK245" s="3" t="s">
        <v>2961</v>
      </c>
      <c r="AM245" s="3" t="s">
        <v>3536</v>
      </c>
      <c r="AO245" s="106"/>
    </row>
    <row r="246" spans="6:41" x14ac:dyDescent="0.25">
      <c r="F246" s="35" t="s">
        <v>1614</v>
      </c>
      <c r="G246" s="46" t="s">
        <v>16</v>
      </c>
      <c r="H246" s="47" t="s">
        <v>1037</v>
      </c>
      <c r="L246" s="3" t="s">
        <v>274</v>
      </c>
      <c r="M246" s="3">
        <v>5484109</v>
      </c>
      <c r="N246" s="3" t="s">
        <v>658</v>
      </c>
      <c r="O246" s="94">
        <v>5486101</v>
      </c>
      <c r="Q246" s="3" t="s">
        <v>272</v>
      </c>
      <c r="R246" s="3" t="s">
        <v>275</v>
      </c>
      <c r="S246" s="3" t="s">
        <v>272</v>
      </c>
      <c r="T246" s="94">
        <v>5434401</v>
      </c>
      <c r="U246" s="3" t="s">
        <v>275</v>
      </c>
      <c r="V246" s="94">
        <v>5576204</v>
      </c>
      <c r="W246" s="93"/>
      <c r="AK246" s="3" t="s">
        <v>2966</v>
      </c>
      <c r="AM246" s="3" t="s">
        <v>3553</v>
      </c>
      <c r="AO246" s="106"/>
    </row>
    <row r="247" spans="6:41" x14ac:dyDescent="0.25">
      <c r="F247" s="35" t="s">
        <v>1614</v>
      </c>
      <c r="G247" s="46" t="s">
        <v>16</v>
      </c>
      <c r="H247" s="47" t="s">
        <v>1038</v>
      </c>
      <c r="L247" s="3" t="s">
        <v>275</v>
      </c>
      <c r="M247" s="3">
        <v>5576204</v>
      </c>
      <c r="N247" s="3" t="s">
        <v>314</v>
      </c>
      <c r="O247" s="94">
        <v>5452510</v>
      </c>
      <c r="Q247" s="3" t="s">
        <v>303</v>
      </c>
      <c r="R247" s="3" t="s">
        <v>308</v>
      </c>
      <c r="S247" s="3" t="s">
        <v>303</v>
      </c>
      <c r="T247" s="94">
        <v>5472004</v>
      </c>
      <c r="U247" s="3" t="s">
        <v>308</v>
      </c>
      <c r="V247" s="94">
        <v>5472509</v>
      </c>
      <c r="W247" s="93"/>
      <c r="AK247" s="3" t="s">
        <v>2967</v>
      </c>
      <c r="AM247" s="3" t="s">
        <v>2915</v>
      </c>
      <c r="AO247" s="106"/>
    </row>
    <row r="248" spans="6:41" x14ac:dyDescent="0.25">
      <c r="F248" s="35" t="s">
        <v>1614</v>
      </c>
      <c r="G248" s="46" t="s">
        <v>16</v>
      </c>
      <c r="H248" s="47" t="s">
        <v>1039</v>
      </c>
      <c r="L248" s="3" t="s">
        <v>308</v>
      </c>
      <c r="M248" s="3">
        <v>5472509</v>
      </c>
      <c r="N248" s="3" t="s">
        <v>279</v>
      </c>
      <c r="O248" s="94">
        <v>5454202</v>
      </c>
      <c r="Q248" s="3" t="s">
        <v>273</v>
      </c>
      <c r="R248" s="3" t="s">
        <v>277</v>
      </c>
      <c r="S248" s="3" t="s">
        <v>273</v>
      </c>
      <c r="T248" s="94">
        <v>3481103</v>
      </c>
      <c r="U248" s="3" t="s">
        <v>277</v>
      </c>
      <c r="V248" s="94">
        <v>5476201</v>
      </c>
      <c r="W248" s="93"/>
      <c r="AK248" s="3" t="s">
        <v>3634</v>
      </c>
      <c r="AM248" s="3" t="s">
        <v>3522</v>
      </c>
      <c r="AO248" s="106"/>
    </row>
    <row r="249" spans="6:41" x14ac:dyDescent="0.25">
      <c r="F249" s="35" t="s">
        <v>1614</v>
      </c>
      <c r="G249" s="46" t="s">
        <v>16</v>
      </c>
      <c r="H249" s="47" t="s">
        <v>1040</v>
      </c>
      <c r="L249" s="3" t="s">
        <v>277</v>
      </c>
      <c r="M249" s="3">
        <v>5476201</v>
      </c>
      <c r="N249" s="3" t="s">
        <v>280</v>
      </c>
      <c r="O249" s="94">
        <v>3581101</v>
      </c>
      <c r="Q249" s="3" t="s">
        <v>274</v>
      </c>
      <c r="R249" s="3" t="s">
        <v>278</v>
      </c>
      <c r="S249" s="3" t="s">
        <v>274</v>
      </c>
      <c r="T249" s="94">
        <v>5484109</v>
      </c>
      <c r="U249" s="3" t="s">
        <v>278</v>
      </c>
      <c r="V249" s="94">
        <v>3558206</v>
      </c>
      <c r="W249" s="93"/>
      <c r="AK249" s="3" t="s">
        <v>3636</v>
      </c>
      <c r="AM249" s="3" t="s">
        <v>250</v>
      </c>
      <c r="AO249" s="106"/>
    </row>
    <row r="250" spans="6:41" x14ac:dyDescent="0.25">
      <c r="F250" s="35" t="s">
        <v>1614</v>
      </c>
      <c r="G250" s="46" t="s">
        <v>16</v>
      </c>
      <c r="H250" s="47" t="s">
        <v>1041</v>
      </c>
      <c r="L250" s="3" t="s">
        <v>278</v>
      </c>
      <c r="M250" s="3">
        <v>3558206</v>
      </c>
      <c r="N250" s="3" t="s">
        <v>281</v>
      </c>
      <c r="O250" s="94">
        <v>3554101</v>
      </c>
      <c r="Q250" s="3" t="s">
        <v>275</v>
      </c>
      <c r="R250" s="3" t="s">
        <v>312</v>
      </c>
      <c r="S250" s="3" t="s">
        <v>275</v>
      </c>
      <c r="T250" s="94">
        <v>5576204</v>
      </c>
      <c r="U250" s="3" t="s">
        <v>312</v>
      </c>
      <c r="V250" s="94">
        <v>5486101</v>
      </c>
      <c r="W250" s="93"/>
      <c r="AK250" s="3" t="s">
        <v>3027</v>
      </c>
      <c r="AM250" s="3" t="s">
        <v>251</v>
      </c>
      <c r="AO250" s="106"/>
    </row>
    <row r="251" spans="6:41" x14ac:dyDescent="0.25">
      <c r="F251" s="35" t="s">
        <v>1614</v>
      </c>
      <c r="G251" s="46" t="s">
        <v>16</v>
      </c>
      <c r="H251" s="47" t="s">
        <v>1042</v>
      </c>
      <c r="L251" s="3" t="s">
        <v>312</v>
      </c>
      <c r="M251" s="3">
        <v>5486101</v>
      </c>
      <c r="N251" s="3" t="s">
        <v>282</v>
      </c>
      <c r="O251" s="94">
        <v>5481302</v>
      </c>
      <c r="Q251" s="3" t="s">
        <v>308</v>
      </c>
      <c r="R251" s="3" t="s">
        <v>314</v>
      </c>
      <c r="S251" s="3" t="s">
        <v>308</v>
      </c>
      <c r="T251" s="94">
        <v>5472509</v>
      </c>
      <c r="U251" s="3" t="s">
        <v>314</v>
      </c>
      <c r="V251" s="94">
        <v>5452510</v>
      </c>
      <c r="W251" s="93"/>
      <c r="AK251" s="3" t="s">
        <v>3639</v>
      </c>
      <c r="AM251" s="3" t="s">
        <v>2929</v>
      </c>
      <c r="AO251" s="106"/>
    </row>
    <row r="252" spans="6:41" x14ac:dyDescent="0.25">
      <c r="F252" s="35" t="s">
        <v>1614</v>
      </c>
      <c r="G252" s="46" t="s">
        <v>16</v>
      </c>
      <c r="H252" s="47" t="s">
        <v>1043</v>
      </c>
      <c r="L252" s="3" t="s">
        <v>314</v>
      </c>
      <c r="M252" s="3">
        <v>5452510</v>
      </c>
      <c r="N252" s="3" t="s">
        <v>319</v>
      </c>
      <c r="O252" s="94">
        <v>5572602</v>
      </c>
      <c r="Q252" s="3" t="s">
        <v>277</v>
      </c>
      <c r="R252" s="3" t="s">
        <v>279</v>
      </c>
      <c r="S252" s="3" t="s">
        <v>277</v>
      </c>
      <c r="T252" s="94">
        <v>5476201</v>
      </c>
      <c r="U252" s="3" t="s">
        <v>279</v>
      </c>
      <c r="V252" s="94">
        <v>5454202</v>
      </c>
      <c r="W252" s="93"/>
      <c r="AK252" s="3" t="s">
        <v>3028</v>
      </c>
      <c r="AM252" s="3" t="s">
        <v>3109</v>
      </c>
      <c r="AO252" s="106"/>
    </row>
    <row r="253" spans="6:41" x14ac:dyDescent="0.25">
      <c r="F253" s="35" t="s">
        <v>1614</v>
      </c>
      <c r="G253" s="46" t="s">
        <v>16</v>
      </c>
      <c r="H253" s="20" t="s">
        <v>1044</v>
      </c>
      <c r="L253" s="3" t="s">
        <v>279</v>
      </c>
      <c r="M253" s="3">
        <v>5454202</v>
      </c>
      <c r="N253" s="3" t="s">
        <v>284</v>
      </c>
      <c r="O253" s="94">
        <v>5554106</v>
      </c>
      <c r="Q253" s="3" t="s">
        <v>278</v>
      </c>
      <c r="R253" s="3" t="s">
        <v>280</v>
      </c>
      <c r="S253" s="3" t="s">
        <v>278</v>
      </c>
      <c r="T253" s="94">
        <v>3558206</v>
      </c>
      <c r="U253" s="3" t="s">
        <v>280</v>
      </c>
      <c r="V253" s="94">
        <v>3581101</v>
      </c>
      <c r="W253" s="93"/>
      <c r="AK253" s="3" t="s">
        <v>3642</v>
      </c>
      <c r="AM253" s="3" t="s">
        <v>254</v>
      </c>
      <c r="AO253" s="106"/>
    </row>
    <row r="254" spans="6:41" x14ac:dyDescent="0.25">
      <c r="H254" s="38" t="s">
        <v>17</v>
      </c>
      <c r="L254" s="3" t="s">
        <v>280</v>
      </c>
      <c r="M254" s="3">
        <v>3581101</v>
      </c>
      <c r="N254" s="3" t="s">
        <v>285</v>
      </c>
      <c r="O254" s="94">
        <v>3481104</v>
      </c>
      <c r="Q254" s="3" t="s">
        <v>312</v>
      </c>
      <c r="R254" s="3" t="s">
        <v>281</v>
      </c>
      <c r="S254" s="3" t="s">
        <v>312</v>
      </c>
      <c r="T254" s="94">
        <v>5486101</v>
      </c>
      <c r="U254" s="3" t="s">
        <v>281</v>
      </c>
      <c r="V254" s="94">
        <v>3554101</v>
      </c>
      <c r="W254" s="93"/>
      <c r="AK254" s="3" t="s">
        <v>3644</v>
      </c>
      <c r="AM254" s="3" t="s">
        <v>3112</v>
      </c>
      <c r="AO254" s="106"/>
    </row>
    <row r="255" spans="6:41" x14ac:dyDescent="0.25">
      <c r="F255" s="35" t="s">
        <v>1614</v>
      </c>
      <c r="G255" s="46" t="s">
        <v>17</v>
      </c>
      <c r="H255" s="47" t="s">
        <v>1045</v>
      </c>
      <c r="L255" s="3" t="s">
        <v>281</v>
      </c>
      <c r="M255" s="3">
        <v>3554101</v>
      </c>
      <c r="N255" s="3" t="s">
        <v>288</v>
      </c>
      <c r="O255" s="94">
        <v>3452302</v>
      </c>
      <c r="Q255" s="3" t="s">
        <v>314</v>
      </c>
      <c r="R255" s="3" t="s">
        <v>282</v>
      </c>
      <c r="S255" s="3" t="s">
        <v>314</v>
      </c>
      <c r="T255" s="94">
        <v>5452510</v>
      </c>
      <c r="U255" s="3" t="s">
        <v>282</v>
      </c>
      <c r="V255" s="94">
        <v>5481302</v>
      </c>
      <c r="W255" s="93"/>
      <c r="AK255" s="3" t="s">
        <v>3646</v>
      </c>
      <c r="AM255" s="3" t="s">
        <v>2956</v>
      </c>
      <c r="AO255" s="106"/>
    </row>
    <row r="256" spans="6:41" x14ac:dyDescent="0.25">
      <c r="F256" s="35" t="s">
        <v>1614</v>
      </c>
      <c r="G256" s="46" t="s">
        <v>17</v>
      </c>
      <c r="H256" s="47" t="s">
        <v>1046</v>
      </c>
      <c r="L256" s="3" t="s">
        <v>282</v>
      </c>
      <c r="M256" s="3">
        <v>5481302</v>
      </c>
      <c r="N256" s="3" t="s">
        <v>289</v>
      </c>
      <c r="O256" s="94">
        <v>3458210</v>
      </c>
      <c r="Q256" s="3" t="s">
        <v>279</v>
      </c>
      <c r="R256" s="3" t="s">
        <v>319</v>
      </c>
      <c r="S256" s="3" t="s">
        <v>279</v>
      </c>
      <c r="T256" s="94">
        <v>5454202</v>
      </c>
      <c r="U256" s="3" t="s">
        <v>319</v>
      </c>
      <c r="V256" s="94">
        <v>5572602</v>
      </c>
      <c r="W256" s="93"/>
      <c r="AK256" s="3" t="s">
        <v>3648</v>
      </c>
      <c r="AM256" s="3" t="s">
        <v>2955</v>
      </c>
      <c r="AO256" s="106"/>
    </row>
    <row r="257" spans="6:41" x14ac:dyDescent="0.25">
      <c r="F257" s="35" t="s">
        <v>1614</v>
      </c>
      <c r="G257" s="46" t="s">
        <v>17</v>
      </c>
      <c r="H257" s="47" t="s">
        <v>1047</v>
      </c>
      <c r="L257" s="3" t="s">
        <v>319</v>
      </c>
      <c r="M257" s="3">
        <v>5572602</v>
      </c>
      <c r="N257" s="3" t="s">
        <v>290</v>
      </c>
      <c r="O257" s="94">
        <v>5576205</v>
      </c>
      <c r="Q257" s="3" t="s">
        <v>280</v>
      </c>
      <c r="R257" s="3" t="s">
        <v>284</v>
      </c>
      <c r="S257" s="3" t="s">
        <v>280</v>
      </c>
      <c r="T257" s="94">
        <v>3581101</v>
      </c>
      <c r="U257" s="3" t="s">
        <v>284</v>
      </c>
      <c r="V257" s="94">
        <v>5554106</v>
      </c>
      <c r="W257" s="93"/>
      <c r="AK257" s="3" t="s">
        <v>3012</v>
      </c>
      <c r="AM257" s="3" t="s">
        <v>3519</v>
      </c>
      <c r="AO257" s="106"/>
    </row>
    <row r="258" spans="6:41" x14ac:dyDescent="0.25">
      <c r="F258" s="35" t="s">
        <v>1614</v>
      </c>
      <c r="G258" s="46" t="s">
        <v>17</v>
      </c>
      <c r="H258" s="47" t="s">
        <v>1048</v>
      </c>
      <c r="L258" s="3" t="s">
        <v>284</v>
      </c>
      <c r="M258" s="3">
        <v>5554106</v>
      </c>
      <c r="N258" s="3" t="s">
        <v>291</v>
      </c>
      <c r="O258" s="94">
        <v>3452110</v>
      </c>
      <c r="Q258" s="3" t="s">
        <v>281</v>
      </c>
      <c r="R258" s="3" t="s">
        <v>285</v>
      </c>
      <c r="S258" s="3" t="s">
        <v>281</v>
      </c>
      <c r="T258" s="94">
        <v>3554101</v>
      </c>
      <c r="U258" s="3" t="s">
        <v>285</v>
      </c>
      <c r="V258" s="94">
        <v>3481104</v>
      </c>
      <c r="W258" s="93"/>
      <c r="AK258" s="3" t="s">
        <v>3779</v>
      </c>
      <c r="AM258" s="3" t="s">
        <v>3629</v>
      </c>
      <c r="AO258" s="106"/>
    </row>
    <row r="259" spans="6:41" x14ac:dyDescent="0.25">
      <c r="F259" s="35" t="s">
        <v>1614</v>
      </c>
      <c r="G259" s="46" t="s">
        <v>17</v>
      </c>
      <c r="H259" s="47" t="s">
        <v>1049</v>
      </c>
      <c r="L259" s="3" t="s">
        <v>285</v>
      </c>
      <c r="M259" s="3">
        <v>3481104</v>
      </c>
      <c r="N259" s="3" t="s">
        <v>659</v>
      </c>
      <c r="O259" s="94">
        <v>5521201</v>
      </c>
      <c r="Q259" s="3" t="s">
        <v>282</v>
      </c>
      <c r="R259" s="3" t="s">
        <v>288</v>
      </c>
      <c r="S259" s="3" t="s">
        <v>282</v>
      </c>
      <c r="T259" s="94">
        <v>5481302</v>
      </c>
      <c r="U259" s="3" t="s">
        <v>288</v>
      </c>
      <c r="V259" s="94">
        <v>3452302</v>
      </c>
      <c r="W259" s="93"/>
      <c r="AK259" s="3" t="s">
        <v>3115</v>
      </c>
      <c r="AM259" s="3" t="s">
        <v>2957</v>
      </c>
      <c r="AO259" s="106"/>
    </row>
    <row r="260" spans="6:41" x14ac:dyDescent="0.25">
      <c r="F260" s="35" t="s">
        <v>1614</v>
      </c>
      <c r="G260" s="46" t="s">
        <v>17</v>
      </c>
      <c r="H260" s="47" t="s">
        <v>1050</v>
      </c>
      <c r="L260" s="3" t="s">
        <v>288</v>
      </c>
      <c r="M260" s="3">
        <v>3452302</v>
      </c>
      <c r="N260" s="3" t="s">
        <v>293</v>
      </c>
      <c r="O260" s="94">
        <v>5452107</v>
      </c>
      <c r="Q260" s="3" t="s">
        <v>319</v>
      </c>
      <c r="R260" s="3" t="s">
        <v>289</v>
      </c>
      <c r="S260" s="3" t="s">
        <v>319</v>
      </c>
      <c r="T260" s="94">
        <v>5572602</v>
      </c>
      <c r="U260" s="3" t="s">
        <v>289</v>
      </c>
      <c r="V260" s="94">
        <v>3458210</v>
      </c>
      <c r="W260" s="93"/>
      <c r="AK260" s="3" t="s">
        <v>2910</v>
      </c>
      <c r="AM260" s="3" t="s">
        <v>3630</v>
      </c>
      <c r="AO260" s="106"/>
    </row>
    <row r="261" spans="6:41" x14ac:dyDescent="0.25">
      <c r="F261" s="35" t="s">
        <v>1614</v>
      </c>
      <c r="G261" s="46" t="s">
        <v>17</v>
      </c>
      <c r="H261" s="47" t="s">
        <v>1051</v>
      </c>
      <c r="L261" s="3" t="s">
        <v>289</v>
      </c>
      <c r="M261" s="3">
        <v>3458210</v>
      </c>
      <c r="N261" s="3" t="s">
        <v>660</v>
      </c>
      <c r="O261" s="94">
        <v>5452108</v>
      </c>
      <c r="Q261" s="3" t="s">
        <v>284</v>
      </c>
      <c r="R261" s="3" t="s">
        <v>290</v>
      </c>
      <c r="S261" s="3" t="s">
        <v>284</v>
      </c>
      <c r="T261" s="94">
        <v>5554106</v>
      </c>
      <c r="U261" s="3" t="s">
        <v>290</v>
      </c>
      <c r="V261" s="94">
        <v>5576205</v>
      </c>
      <c r="W261" s="93"/>
      <c r="AK261" s="3" t="s">
        <v>3558</v>
      </c>
      <c r="AM261" s="3" t="s">
        <v>3631</v>
      </c>
      <c r="AO261" s="106"/>
    </row>
    <row r="262" spans="6:41" x14ac:dyDescent="0.25">
      <c r="F262" s="35" t="s">
        <v>1614</v>
      </c>
      <c r="G262" s="46" t="s">
        <v>17</v>
      </c>
      <c r="H262" s="47" t="s">
        <v>1052</v>
      </c>
      <c r="L262" s="3" t="s">
        <v>290</v>
      </c>
      <c r="M262" s="3">
        <v>5576205</v>
      </c>
      <c r="N262" s="3" t="s">
        <v>328</v>
      </c>
      <c r="O262" s="94">
        <v>5552102</v>
      </c>
      <c r="Q262" s="3" t="s">
        <v>285</v>
      </c>
      <c r="R262" s="3" t="s">
        <v>291</v>
      </c>
      <c r="S262" s="3" t="s">
        <v>285</v>
      </c>
      <c r="T262" s="94">
        <v>3481104</v>
      </c>
      <c r="U262" s="3" t="s">
        <v>291</v>
      </c>
      <c r="V262" s="94">
        <v>3452110</v>
      </c>
      <c r="W262" s="93"/>
      <c r="AK262" s="3" t="s">
        <v>3537</v>
      </c>
      <c r="AM262" s="3" t="s">
        <v>2962</v>
      </c>
      <c r="AO262" s="106"/>
    </row>
    <row r="263" spans="6:41" x14ac:dyDescent="0.25">
      <c r="H263" s="38" t="s">
        <v>18</v>
      </c>
      <c r="L263" s="3" t="s">
        <v>291</v>
      </c>
      <c r="M263" s="3">
        <v>3452110</v>
      </c>
      <c r="N263" s="3" t="s">
        <v>329</v>
      </c>
      <c r="O263" s="94">
        <v>5552103</v>
      </c>
      <c r="Q263" s="3" t="s">
        <v>288</v>
      </c>
      <c r="R263" s="3" t="s">
        <v>326</v>
      </c>
      <c r="S263" s="3" t="s">
        <v>288</v>
      </c>
      <c r="T263" s="94">
        <v>3452302</v>
      </c>
      <c r="U263" s="3" t="s">
        <v>326</v>
      </c>
      <c r="V263" s="94">
        <v>5521201</v>
      </c>
      <c r="W263" s="93"/>
      <c r="AK263" s="3" t="s">
        <v>3731</v>
      </c>
      <c r="AM263" s="3" t="s">
        <v>2959</v>
      </c>
      <c r="AO263" s="106"/>
    </row>
    <row r="264" spans="6:41" x14ac:dyDescent="0.25">
      <c r="F264" s="35" t="s">
        <v>1614</v>
      </c>
      <c r="G264" s="46" t="s">
        <v>18</v>
      </c>
      <c r="H264" s="47" t="s">
        <v>1053</v>
      </c>
      <c r="L264" s="3" t="s">
        <v>326</v>
      </c>
      <c r="M264" s="3">
        <v>5521201</v>
      </c>
      <c r="N264" s="3" t="s">
        <v>294</v>
      </c>
      <c r="O264" s="94">
        <v>5421107</v>
      </c>
      <c r="Q264" s="3" t="s">
        <v>289</v>
      </c>
      <c r="R264" s="3" t="s">
        <v>293</v>
      </c>
      <c r="S264" s="3" t="s">
        <v>289</v>
      </c>
      <c r="T264" s="94">
        <v>3458210</v>
      </c>
      <c r="U264" s="3" t="s">
        <v>293</v>
      </c>
      <c r="V264" s="94">
        <v>5452107</v>
      </c>
      <c r="W264" s="93"/>
      <c r="AK264" s="3" t="s">
        <v>2881</v>
      </c>
      <c r="AM264" s="3" t="s">
        <v>2963</v>
      </c>
      <c r="AO264" s="106"/>
    </row>
    <row r="265" spans="6:41" x14ac:dyDescent="0.25">
      <c r="F265" s="35" t="s">
        <v>1614</v>
      </c>
      <c r="G265" s="46" t="s">
        <v>18</v>
      </c>
      <c r="H265" s="47" t="s">
        <v>1054</v>
      </c>
      <c r="L265" s="3" t="s">
        <v>293</v>
      </c>
      <c r="M265" s="3">
        <v>5452107</v>
      </c>
      <c r="N265" s="3" t="s">
        <v>295</v>
      </c>
      <c r="O265" s="94">
        <v>5476202</v>
      </c>
      <c r="Q265" s="3" t="s">
        <v>290</v>
      </c>
      <c r="R265" s="3" t="s">
        <v>327</v>
      </c>
      <c r="S265" s="3" t="s">
        <v>290</v>
      </c>
      <c r="T265" s="94">
        <v>5576205</v>
      </c>
      <c r="U265" s="3" t="s">
        <v>327</v>
      </c>
      <c r="V265" s="94">
        <v>5452108</v>
      </c>
      <c r="W265" s="93"/>
      <c r="AK265" s="3" t="s">
        <v>3504</v>
      </c>
      <c r="AM265" s="3" t="s">
        <v>3632</v>
      </c>
      <c r="AO265" s="106"/>
    </row>
    <row r="266" spans="6:41" x14ac:dyDescent="0.25">
      <c r="F266" s="35" t="s">
        <v>1614</v>
      </c>
      <c r="G266" s="46" t="s">
        <v>18</v>
      </c>
      <c r="H266" s="47" t="s">
        <v>1055</v>
      </c>
      <c r="L266" s="3" t="s">
        <v>327</v>
      </c>
      <c r="M266" s="3">
        <v>5452108</v>
      </c>
      <c r="N266" s="3" t="s">
        <v>297</v>
      </c>
      <c r="O266" s="94">
        <v>3476201</v>
      </c>
      <c r="Q266" s="3" t="s">
        <v>291</v>
      </c>
      <c r="R266" s="3" t="s">
        <v>328</v>
      </c>
      <c r="S266" s="3" t="s">
        <v>291</v>
      </c>
      <c r="T266" s="94">
        <v>3452110</v>
      </c>
      <c r="U266" s="3" t="s">
        <v>328</v>
      </c>
      <c r="V266" s="94">
        <v>5552102</v>
      </c>
      <c r="W266" s="93"/>
      <c r="AK266" s="3" t="s">
        <v>3520</v>
      </c>
      <c r="AM266" s="3" t="s">
        <v>3633</v>
      </c>
      <c r="AO266" s="106"/>
    </row>
    <row r="267" spans="6:41" x14ac:dyDescent="0.25">
      <c r="F267" s="35" t="s">
        <v>1614</v>
      </c>
      <c r="G267" s="46" t="s">
        <v>18</v>
      </c>
      <c r="H267" s="47" t="s">
        <v>1056</v>
      </c>
      <c r="L267" s="3" t="s">
        <v>328</v>
      </c>
      <c r="M267" s="3">
        <v>5552102</v>
      </c>
      <c r="N267" s="3" t="s">
        <v>298</v>
      </c>
      <c r="O267" s="94">
        <v>5476203</v>
      </c>
      <c r="Q267" s="3" t="s">
        <v>326</v>
      </c>
      <c r="R267" s="3" t="s">
        <v>329</v>
      </c>
      <c r="S267" s="3" t="s">
        <v>326</v>
      </c>
      <c r="T267" s="94">
        <v>5521201</v>
      </c>
      <c r="U267" s="3" t="s">
        <v>329</v>
      </c>
      <c r="V267" s="94">
        <v>5552103</v>
      </c>
      <c r="W267" s="93"/>
      <c r="AK267" s="3" t="s">
        <v>3757</v>
      </c>
      <c r="AM267" s="3" t="s">
        <v>2958</v>
      </c>
      <c r="AO267" s="106"/>
    </row>
    <row r="268" spans="6:41" x14ac:dyDescent="0.25">
      <c r="F268" s="35" t="s">
        <v>1614</v>
      </c>
      <c r="G268" s="46" t="s">
        <v>18</v>
      </c>
      <c r="H268" s="47" t="s">
        <v>1057</v>
      </c>
      <c r="L268" s="3" t="s">
        <v>329</v>
      </c>
      <c r="M268" s="3">
        <v>5552103</v>
      </c>
      <c r="N268" s="3" t="s">
        <v>299</v>
      </c>
      <c r="O268" s="94">
        <v>5576206</v>
      </c>
      <c r="Q268" s="3" t="s">
        <v>293</v>
      </c>
      <c r="R268" s="3" t="s">
        <v>294</v>
      </c>
      <c r="S268" s="3" t="s">
        <v>293</v>
      </c>
      <c r="T268" s="94">
        <v>5452107</v>
      </c>
      <c r="U268" s="3" t="s">
        <v>294</v>
      </c>
      <c r="V268" s="94">
        <v>5421107</v>
      </c>
      <c r="W268" s="93"/>
      <c r="AK268" s="3" t="s">
        <v>2882</v>
      </c>
      <c r="AM268" s="3" t="s">
        <v>2960</v>
      </c>
      <c r="AO268" s="106"/>
    </row>
    <row r="269" spans="6:41" x14ac:dyDescent="0.25">
      <c r="F269" s="35" t="s">
        <v>1614</v>
      </c>
      <c r="G269" s="46" t="s">
        <v>18</v>
      </c>
      <c r="H269" s="47" t="s">
        <v>1058</v>
      </c>
      <c r="L269" s="3" t="s">
        <v>294</v>
      </c>
      <c r="M269" s="3">
        <v>5421107</v>
      </c>
      <c r="N269" s="3" t="s">
        <v>300</v>
      </c>
      <c r="O269" s="94">
        <v>5421305</v>
      </c>
      <c r="Q269" s="3" t="s">
        <v>327</v>
      </c>
      <c r="R269" s="3" t="s">
        <v>295</v>
      </c>
      <c r="S269" s="3" t="s">
        <v>327</v>
      </c>
      <c r="T269" s="94">
        <v>5452108</v>
      </c>
      <c r="U269" s="3" t="s">
        <v>295</v>
      </c>
      <c r="V269" s="94">
        <v>5476202</v>
      </c>
      <c r="W269" s="93"/>
      <c r="AK269" s="3" t="s">
        <v>267</v>
      </c>
      <c r="AM269" s="3" t="s">
        <v>2964</v>
      </c>
      <c r="AO269" s="106"/>
    </row>
    <row r="270" spans="6:41" x14ac:dyDescent="0.25">
      <c r="F270" s="35" t="s">
        <v>1614</v>
      </c>
      <c r="G270" s="46" t="s">
        <v>18</v>
      </c>
      <c r="H270" s="47" t="s">
        <v>1059</v>
      </c>
      <c r="L270" s="3" t="s">
        <v>295</v>
      </c>
      <c r="M270" s="3">
        <v>5476202</v>
      </c>
      <c r="N270" s="3" t="s">
        <v>334</v>
      </c>
      <c r="O270" s="94">
        <v>5521207</v>
      </c>
      <c r="Q270" s="3" t="s">
        <v>328</v>
      </c>
      <c r="R270" s="3" t="s">
        <v>297</v>
      </c>
      <c r="S270" s="3" t="s">
        <v>328</v>
      </c>
      <c r="T270" s="94">
        <v>5552102</v>
      </c>
      <c r="U270" s="3" t="s">
        <v>297</v>
      </c>
      <c r="V270" s="94">
        <v>3476201</v>
      </c>
      <c r="W270" s="93"/>
      <c r="AK270" s="3" t="s">
        <v>3032</v>
      </c>
      <c r="AM270" s="3" t="s">
        <v>2965</v>
      </c>
      <c r="AO270" s="106"/>
    </row>
    <row r="271" spans="6:41" x14ac:dyDescent="0.25">
      <c r="F271" s="35" t="s">
        <v>1614</v>
      </c>
      <c r="G271" s="46" t="s">
        <v>18</v>
      </c>
      <c r="H271" s="47" t="s">
        <v>1060</v>
      </c>
      <c r="L271" s="3" t="s">
        <v>297</v>
      </c>
      <c r="M271" s="3">
        <v>3476201</v>
      </c>
      <c r="N271" s="3" t="s">
        <v>336</v>
      </c>
      <c r="O271" s="94">
        <v>5421208</v>
      </c>
      <c r="Q271" s="3" t="s">
        <v>329</v>
      </c>
      <c r="R271" s="3" t="s">
        <v>298</v>
      </c>
      <c r="S271" s="3" t="s">
        <v>329</v>
      </c>
      <c r="T271" s="94">
        <v>5552103</v>
      </c>
      <c r="U271" s="3" t="s">
        <v>298</v>
      </c>
      <c r="V271" s="94">
        <v>5476203</v>
      </c>
      <c r="W271" s="93"/>
      <c r="AK271" s="3" t="s">
        <v>3033</v>
      </c>
      <c r="AM271" s="3" t="s">
        <v>2961</v>
      </c>
      <c r="AO271" s="106"/>
    </row>
    <row r="272" spans="6:41" x14ac:dyDescent="0.25">
      <c r="F272" s="35" t="s">
        <v>1614</v>
      </c>
      <c r="G272" s="46" t="s">
        <v>18</v>
      </c>
      <c r="H272" s="47" t="s">
        <v>1061</v>
      </c>
      <c r="L272" s="3" t="s">
        <v>298</v>
      </c>
      <c r="M272" s="3">
        <v>5476203</v>
      </c>
      <c r="N272" s="3" t="s">
        <v>301</v>
      </c>
      <c r="O272" s="94">
        <v>3454106</v>
      </c>
      <c r="Q272" s="3" t="s">
        <v>294</v>
      </c>
      <c r="R272" s="3" t="s">
        <v>299</v>
      </c>
      <c r="S272" s="3" t="s">
        <v>294</v>
      </c>
      <c r="T272" s="94">
        <v>5421107</v>
      </c>
      <c r="U272" s="3" t="s">
        <v>299</v>
      </c>
      <c r="V272" s="94">
        <v>5576206</v>
      </c>
      <c r="W272" s="93"/>
      <c r="AK272" s="3" t="s">
        <v>3733</v>
      </c>
      <c r="AM272" s="3" t="s">
        <v>2966</v>
      </c>
      <c r="AO272" s="106"/>
    </row>
    <row r="273" spans="6:41" x14ac:dyDescent="0.25">
      <c r="F273" s="35" t="s">
        <v>1614</v>
      </c>
      <c r="G273" s="46" t="s">
        <v>18</v>
      </c>
      <c r="H273" s="20" t="s">
        <v>1062</v>
      </c>
      <c r="L273" s="3" t="s">
        <v>299</v>
      </c>
      <c r="M273" s="3">
        <v>5576206</v>
      </c>
      <c r="N273" s="3" t="s">
        <v>337</v>
      </c>
      <c r="O273" s="94">
        <v>5572521</v>
      </c>
      <c r="Q273" s="3" t="s">
        <v>295</v>
      </c>
      <c r="R273" s="3" t="s">
        <v>300</v>
      </c>
      <c r="S273" s="3" t="s">
        <v>295</v>
      </c>
      <c r="T273" s="94">
        <v>5476202</v>
      </c>
      <c r="U273" s="3" t="s">
        <v>300</v>
      </c>
      <c r="V273" s="94">
        <v>5421305</v>
      </c>
      <c r="W273" s="93"/>
      <c r="AK273" s="3" t="s">
        <v>3103</v>
      </c>
      <c r="AM273" s="3" t="s">
        <v>2967</v>
      </c>
      <c r="AO273" s="106"/>
    </row>
    <row r="274" spans="6:41" x14ac:dyDescent="0.25">
      <c r="H274" s="38" t="s">
        <v>19</v>
      </c>
      <c r="L274" s="3" t="s">
        <v>300</v>
      </c>
      <c r="M274" s="3">
        <v>5421305</v>
      </c>
      <c r="N274" s="3" t="s">
        <v>338</v>
      </c>
      <c r="O274" s="94">
        <v>5521208</v>
      </c>
      <c r="Q274" s="3" t="s">
        <v>297</v>
      </c>
      <c r="R274" s="3" t="s">
        <v>334</v>
      </c>
      <c r="S274" s="3" t="s">
        <v>297</v>
      </c>
      <c r="T274" s="94">
        <v>3476201</v>
      </c>
      <c r="U274" s="3" t="s">
        <v>334</v>
      </c>
      <c r="V274" s="94">
        <v>5521207</v>
      </c>
      <c r="W274" s="93"/>
      <c r="AK274" s="3" t="s">
        <v>2856</v>
      </c>
      <c r="AM274" s="3" t="s">
        <v>3634</v>
      </c>
      <c r="AO274" s="106"/>
    </row>
    <row r="275" spans="6:41" x14ac:dyDescent="0.25">
      <c r="F275" s="35" t="s">
        <v>1614</v>
      </c>
      <c r="G275" s="46" t="s">
        <v>19</v>
      </c>
      <c r="H275" s="47" t="s">
        <v>1063</v>
      </c>
      <c r="L275" s="3" t="s">
        <v>334</v>
      </c>
      <c r="M275" s="3">
        <v>5521207</v>
      </c>
      <c r="N275" s="3" t="s">
        <v>339</v>
      </c>
      <c r="O275" s="94">
        <v>5421209</v>
      </c>
      <c r="Q275" s="3" t="s">
        <v>298</v>
      </c>
      <c r="R275" s="3" t="s">
        <v>336</v>
      </c>
      <c r="S275" s="3" t="s">
        <v>298</v>
      </c>
      <c r="T275" s="94">
        <v>5476203</v>
      </c>
      <c r="U275" s="3" t="s">
        <v>336</v>
      </c>
      <c r="V275" s="94">
        <v>5421208</v>
      </c>
      <c r="W275" s="93"/>
      <c r="AK275" s="3" t="s">
        <v>3116</v>
      </c>
      <c r="AM275" s="3" t="s">
        <v>3636</v>
      </c>
      <c r="AO275" s="106"/>
    </row>
    <row r="276" spans="6:41" x14ac:dyDescent="0.25">
      <c r="F276" s="35" t="s">
        <v>1614</v>
      </c>
      <c r="G276" s="46" t="s">
        <v>19</v>
      </c>
      <c r="H276" s="47" t="s">
        <v>1064</v>
      </c>
      <c r="L276" s="3" t="s">
        <v>336</v>
      </c>
      <c r="M276" s="3">
        <v>5421208</v>
      </c>
      <c r="N276" s="3" t="s">
        <v>341</v>
      </c>
      <c r="O276" s="94">
        <v>3454109</v>
      </c>
      <c r="Q276" s="3" t="s">
        <v>299</v>
      </c>
      <c r="R276" s="3" t="s">
        <v>301</v>
      </c>
      <c r="S276" s="3" t="s">
        <v>299</v>
      </c>
      <c r="T276" s="94">
        <v>5576206</v>
      </c>
      <c r="U276" s="3" t="s">
        <v>301</v>
      </c>
      <c r="V276" s="94">
        <v>3454106</v>
      </c>
      <c r="W276" s="93"/>
      <c r="AK276" s="3" t="s">
        <v>278</v>
      </c>
      <c r="AM276" s="3" t="s">
        <v>3027</v>
      </c>
      <c r="AO276" s="106"/>
    </row>
    <row r="277" spans="6:41" x14ac:dyDescent="0.25">
      <c r="F277" s="35" t="s">
        <v>1614</v>
      </c>
      <c r="G277" s="46" t="s">
        <v>19</v>
      </c>
      <c r="H277" s="47" t="s">
        <v>1065</v>
      </c>
      <c r="L277" s="3" t="s">
        <v>301</v>
      </c>
      <c r="M277" s="3">
        <v>3454106</v>
      </c>
      <c r="N277" s="3" t="s">
        <v>302</v>
      </c>
      <c r="O277" s="94">
        <v>5554107</v>
      </c>
      <c r="Q277" s="3" t="s">
        <v>300</v>
      </c>
      <c r="R277" s="3" t="s">
        <v>337</v>
      </c>
      <c r="S277" s="3" t="s">
        <v>300</v>
      </c>
      <c r="T277" s="94">
        <v>5421305</v>
      </c>
      <c r="U277" s="3" t="s">
        <v>337</v>
      </c>
      <c r="V277" s="94">
        <v>5572521</v>
      </c>
      <c r="W277" s="93"/>
      <c r="AK277" s="3" t="s">
        <v>3559</v>
      </c>
      <c r="AM277" s="3" t="s">
        <v>3639</v>
      </c>
      <c r="AO277" s="106"/>
    </row>
    <row r="278" spans="6:41" x14ac:dyDescent="0.25">
      <c r="F278" s="35" t="s">
        <v>1614</v>
      </c>
      <c r="G278" s="46" t="s">
        <v>19</v>
      </c>
      <c r="H278" s="47" t="s">
        <v>1066</v>
      </c>
      <c r="L278" s="3" t="s">
        <v>337</v>
      </c>
      <c r="M278" s="3">
        <v>5572521</v>
      </c>
      <c r="N278" s="3" t="s">
        <v>304</v>
      </c>
      <c r="O278" s="94">
        <v>5452305</v>
      </c>
      <c r="Q278" s="3" t="s">
        <v>334</v>
      </c>
      <c r="R278" s="3" t="s">
        <v>338</v>
      </c>
      <c r="S278" s="3" t="s">
        <v>334</v>
      </c>
      <c r="T278" s="94">
        <v>5521207</v>
      </c>
      <c r="U278" s="3" t="s">
        <v>338</v>
      </c>
      <c r="V278" s="94">
        <v>5521208</v>
      </c>
      <c r="W278" s="93"/>
      <c r="AK278" s="3" t="s">
        <v>3734</v>
      </c>
      <c r="AM278" s="3" t="s">
        <v>3028</v>
      </c>
      <c r="AO278" s="106"/>
    </row>
    <row r="279" spans="6:41" x14ac:dyDescent="0.25">
      <c r="F279" s="35" t="s">
        <v>1614</v>
      </c>
      <c r="G279" s="46" t="s">
        <v>19</v>
      </c>
      <c r="H279" s="47" t="s">
        <v>1067</v>
      </c>
      <c r="L279" s="3" t="s">
        <v>338</v>
      </c>
      <c r="M279" s="3">
        <v>5521208</v>
      </c>
      <c r="N279" s="3" t="s">
        <v>343</v>
      </c>
      <c r="O279" s="94">
        <v>3584102</v>
      </c>
      <c r="Q279" s="3" t="s">
        <v>336</v>
      </c>
      <c r="R279" s="3" t="s">
        <v>339</v>
      </c>
      <c r="S279" s="3" t="s">
        <v>336</v>
      </c>
      <c r="T279" s="94">
        <v>5421208</v>
      </c>
      <c r="U279" s="3" t="s">
        <v>339</v>
      </c>
      <c r="V279" s="94">
        <v>5421209</v>
      </c>
      <c r="W279" s="93"/>
      <c r="AK279" s="3" t="s">
        <v>3035</v>
      </c>
      <c r="AM279" s="3" t="s">
        <v>3642</v>
      </c>
      <c r="AO279" s="106"/>
    </row>
    <row r="280" spans="6:41" x14ac:dyDescent="0.25">
      <c r="H280" s="38" t="s">
        <v>20</v>
      </c>
      <c r="L280" s="3" t="s">
        <v>339</v>
      </c>
      <c r="M280" s="3">
        <v>5421209</v>
      </c>
      <c r="N280" s="3" t="s">
        <v>345</v>
      </c>
      <c r="O280" s="94">
        <v>3454110</v>
      </c>
      <c r="Q280" s="3" t="s">
        <v>301</v>
      </c>
      <c r="R280" s="3" t="s">
        <v>341</v>
      </c>
      <c r="S280" s="3" t="s">
        <v>301</v>
      </c>
      <c r="T280" s="94">
        <v>3454106</v>
      </c>
      <c r="U280" s="3" t="s">
        <v>341</v>
      </c>
      <c r="V280" s="94">
        <v>3454109</v>
      </c>
      <c r="W280" s="93"/>
      <c r="AK280" s="3" t="s">
        <v>2891</v>
      </c>
      <c r="AM280" s="3" t="s">
        <v>3644</v>
      </c>
      <c r="AO280" s="106"/>
    </row>
    <row r="281" spans="6:41" x14ac:dyDescent="0.25">
      <c r="F281" s="35" t="s">
        <v>1614</v>
      </c>
      <c r="G281" s="46" t="s">
        <v>20</v>
      </c>
      <c r="H281" s="47" t="s">
        <v>3427</v>
      </c>
      <c r="L281" s="3" t="s">
        <v>341</v>
      </c>
      <c r="M281" s="3">
        <v>3454109</v>
      </c>
      <c r="N281" s="3" t="s">
        <v>305</v>
      </c>
      <c r="O281" s="94">
        <v>5554108</v>
      </c>
      <c r="Q281" s="3" t="s">
        <v>337</v>
      </c>
      <c r="R281" s="3" t="s">
        <v>302</v>
      </c>
      <c r="S281" s="3" t="s">
        <v>337</v>
      </c>
      <c r="T281" s="94">
        <v>5572521</v>
      </c>
      <c r="U281" s="3" t="s">
        <v>302</v>
      </c>
      <c r="V281" s="94">
        <v>5554107</v>
      </c>
      <c r="W281" s="93"/>
      <c r="AK281" s="3" t="s">
        <v>3041</v>
      </c>
      <c r="AM281" s="3" t="s">
        <v>3646</v>
      </c>
      <c r="AO281" s="106"/>
    </row>
    <row r="282" spans="6:41" x14ac:dyDescent="0.25">
      <c r="F282" s="35" t="s">
        <v>1614</v>
      </c>
      <c r="G282" s="46" t="s">
        <v>20</v>
      </c>
      <c r="H282" s="47" t="s">
        <v>1068</v>
      </c>
      <c r="L282" s="3" t="s">
        <v>302</v>
      </c>
      <c r="M282" s="3">
        <v>5554107</v>
      </c>
      <c r="N282" s="3" t="s">
        <v>306</v>
      </c>
      <c r="O282" s="94">
        <v>5585004</v>
      </c>
      <c r="Q282" s="3" t="s">
        <v>338</v>
      </c>
      <c r="R282" s="3" t="s">
        <v>304</v>
      </c>
      <c r="S282" s="3" t="s">
        <v>338</v>
      </c>
      <c r="T282" s="94">
        <v>5521208</v>
      </c>
      <c r="U282" s="3" t="s">
        <v>304</v>
      </c>
      <c r="V282" s="94">
        <v>5452305</v>
      </c>
      <c r="W282" s="93"/>
      <c r="AK282" s="3" t="s">
        <v>3089</v>
      </c>
      <c r="AM282" s="3" t="s">
        <v>3648</v>
      </c>
      <c r="AO282" s="106"/>
    </row>
    <row r="283" spans="6:41" x14ac:dyDescent="0.25">
      <c r="F283" s="35" t="s">
        <v>1614</v>
      </c>
      <c r="G283" s="46" t="s">
        <v>20</v>
      </c>
      <c r="H283" s="47" t="s">
        <v>1069</v>
      </c>
      <c r="L283" s="3" t="s">
        <v>304</v>
      </c>
      <c r="M283" s="3">
        <v>5452305</v>
      </c>
      <c r="N283" s="3" t="s">
        <v>346</v>
      </c>
      <c r="O283" s="94">
        <v>5548101</v>
      </c>
      <c r="Q283" s="3" t="s">
        <v>339</v>
      </c>
      <c r="R283" s="3" t="s">
        <v>343</v>
      </c>
      <c r="S283" s="3" t="s">
        <v>339</v>
      </c>
      <c r="T283" s="94">
        <v>5421209</v>
      </c>
      <c r="U283" s="3" t="s">
        <v>343</v>
      </c>
      <c r="V283" s="94">
        <v>3584102</v>
      </c>
      <c r="W283" s="93"/>
      <c r="AK283" s="3" t="s">
        <v>3708</v>
      </c>
      <c r="AM283" s="3" t="s">
        <v>3012</v>
      </c>
      <c r="AO283" s="106"/>
    </row>
    <row r="284" spans="6:41" x14ac:dyDescent="0.25">
      <c r="F284" s="35" t="s">
        <v>1614</v>
      </c>
      <c r="G284" s="46" t="s">
        <v>20</v>
      </c>
      <c r="H284" s="47" t="s">
        <v>1070</v>
      </c>
      <c r="L284" s="3" t="s">
        <v>343</v>
      </c>
      <c r="M284" s="3">
        <v>3584102</v>
      </c>
      <c r="N284" s="3" t="s">
        <v>307</v>
      </c>
      <c r="O284" s="94">
        <v>5558103</v>
      </c>
      <c r="Q284" s="3" t="s">
        <v>341</v>
      </c>
      <c r="R284" s="3" t="s">
        <v>345</v>
      </c>
      <c r="S284" s="3" t="s">
        <v>341</v>
      </c>
      <c r="T284" s="94">
        <v>3454109</v>
      </c>
      <c r="U284" s="3" t="s">
        <v>345</v>
      </c>
      <c r="V284" s="94">
        <v>3454110</v>
      </c>
      <c r="W284" s="93"/>
      <c r="AK284" s="3" t="s">
        <v>3120</v>
      </c>
      <c r="AM284" s="3" t="s">
        <v>2914</v>
      </c>
      <c r="AO284" s="106"/>
    </row>
    <row r="285" spans="6:41" x14ac:dyDescent="0.25">
      <c r="F285" s="35" t="s">
        <v>1614</v>
      </c>
      <c r="G285" s="46" t="s">
        <v>20</v>
      </c>
      <c r="H285" s="47" t="s">
        <v>1071</v>
      </c>
      <c r="L285" s="3" t="s">
        <v>345</v>
      </c>
      <c r="M285" s="3">
        <v>3454110</v>
      </c>
      <c r="N285" s="3" t="s">
        <v>309</v>
      </c>
      <c r="O285" s="94">
        <v>5585005</v>
      </c>
      <c r="Q285" s="3" t="s">
        <v>302</v>
      </c>
      <c r="R285" s="3" t="s">
        <v>305</v>
      </c>
      <c r="S285" s="3" t="s">
        <v>302</v>
      </c>
      <c r="T285" s="94">
        <v>5554107</v>
      </c>
      <c r="U285" s="3" t="s">
        <v>305</v>
      </c>
      <c r="V285" s="94">
        <v>5554108</v>
      </c>
      <c r="W285" s="93"/>
      <c r="AK285" s="3" t="s">
        <v>2913</v>
      </c>
      <c r="AM285" s="3" t="s">
        <v>3115</v>
      </c>
      <c r="AO285" s="106"/>
    </row>
    <row r="286" spans="6:41" x14ac:dyDescent="0.25">
      <c r="H286" s="38" t="s">
        <v>21</v>
      </c>
      <c r="L286" s="3" t="s">
        <v>305</v>
      </c>
      <c r="M286" s="3">
        <v>5554108</v>
      </c>
      <c r="N286" s="3" t="s">
        <v>310</v>
      </c>
      <c r="O286" s="94">
        <v>3458215</v>
      </c>
      <c r="Q286" s="3" t="s">
        <v>304</v>
      </c>
      <c r="R286" s="3" t="s">
        <v>306</v>
      </c>
      <c r="S286" s="3" t="s">
        <v>304</v>
      </c>
      <c r="T286" s="94">
        <v>5452305</v>
      </c>
      <c r="U286" s="3" t="s">
        <v>306</v>
      </c>
      <c r="V286" s="94">
        <v>5585004</v>
      </c>
      <c r="W286" s="93"/>
      <c r="AK286" s="3" t="s">
        <v>3158</v>
      </c>
      <c r="AM286" s="3" t="s">
        <v>2910</v>
      </c>
      <c r="AO286" s="106"/>
    </row>
    <row r="287" spans="6:41" x14ac:dyDescent="0.25">
      <c r="F287" s="35" t="s">
        <v>1614</v>
      </c>
      <c r="G287" s="46" t="s">
        <v>21</v>
      </c>
      <c r="H287" s="47" t="s">
        <v>1072</v>
      </c>
      <c r="L287" s="3" t="s">
        <v>306</v>
      </c>
      <c r="M287" s="3">
        <v>5585004</v>
      </c>
      <c r="N287" s="3" t="s">
        <v>311</v>
      </c>
      <c r="O287" s="94">
        <v>5454203</v>
      </c>
      <c r="Q287" s="3" t="s">
        <v>343</v>
      </c>
      <c r="R287" s="3" t="s">
        <v>346</v>
      </c>
      <c r="S287" s="3" t="s">
        <v>343</v>
      </c>
      <c r="T287" s="94">
        <v>3584102</v>
      </c>
      <c r="U287" s="3" t="s">
        <v>346</v>
      </c>
      <c r="V287" s="94">
        <v>5548101</v>
      </c>
      <c r="W287" s="93"/>
      <c r="AK287" s="3" t="s">
        <v>3709</v>
      </c>
      <c r="AM287" s="3" t="s">
        <v>3558</v>
      </c>
      <c r="AO287" s="106"/>
    </row>
    <row r="288" spans="6:41" x14ac:dyDescent="0.25">
      <c r="F288" s="35" t="s">
        <v>1614</v>
      </c>
      <c r="G288" s="46" t="s">
        <v>21</v>
      </c>
      <c r="H288" s="47" t="s">
        <v>1073</v>
      </c>
      <c r="L288" s="3" t="s">
        <v>346</v>
      </c>
      <c r="M288" s="3">
        <v>5548101</v>
      </c>
      <c r="N288" s="3" t="s">
        <v>313</v>
      </c>
      <c r="O288" s="94">
        <v>5421108</v>
      </c>
      <c r="Q288" s="3" t="s">
        <v>345</v>
      </c>
      <c r="R288" s="3" t="s">
        <v>307</v>
      </c>
      <c r="S288" s="3" t="s">
        <v>345</v>
      </c>
      <c r="T288" s="94">
        <v>3454110</v>
      </c>
      <c r="U288" s="3" t="s">
        <v>307</v>
      </c>
      <c r="V288" s="94">
        <v>5558103</v>
      </c>
      <c r="W288" s="93"/>
      <c r="AK288" s="3" t="s">
        <v>2920</v>
      </c>
      <c r="AM288" s="3" t="s">
        <v>3537</v>
      </c>
      <c r="AO288" s="106"/>
    </row>
    <row r="289" spans="6:41" x14ac:dyDescent="0.25">
      <c r="F289" s="35" t="s">
        <v>1614</v>
      </c>
      <c r="G289" s="46" t="s">
        <v>21</v>
      </c>
      <c r="H289" s="47" t="s">
        <v>1074</v>
      </c>
      <c r="L289" s="3" t="s">
        <v>307</v>
      </c>
      <c r="M289" s="3">
        <v>5558103</v>
      </c>
      <c r="N289" s="3" t="s">
        <v>315</v>
      </c>
      <c r="O289" s="94">
        <v>5481203</v>
      </c>
      <c r="Q289" s="3" t="s">
        <v>305</v>
      </c>
      <c r="R289" s="3" t="s">
        <v>309</v>
      </c>
      <c r="S289" s="3" t="s">
        <v>305</v>
      </c>
      <c r="T289" s="94">
        <v>5554108</v>
      </c>
      <c r="U289" s="3" t="s">
        <v>309</v>
      </c>
      <c r="V289" s="94">
        <v>5585005</v>
      </c>
      <c r="W289" s="93"/>
      <c r="AK289" s="3" t="s">
        <v>3029</v>
      </c>
      <c r="AM289" s="3" t="s">
        <v>3731</v>
      </c>
      <c r="AO289" s="106"/>
    </row>
    <row r="290" spans="6:41" x14ac:dyDescent="0.25">
      <c r="F290" s="35" t="s">
        <v>1614</v>
      </c>
      <c r="G290" s="46" t="s">
        <v>21</v>
      </c>
      <c r="H290" s="47" t="s">
        <v>1075</v>
      </c>
      <c r="L290" s="3" t="s">
        <v>309</v>
      </c>
      <c r="M290" s="3">
        <v>5585005</v>
      </c>
      <c r="N290" s="3" t="s">
        <v>316</v>
      </c>
      <c r="O290" s="94">
        <v>3458211</v>
      </c>
      <c r="Q290" s="3" t="s">
        <v>306</v>
      </c>
      <c r="R290" s="3" t="s">
        <v>310</v>
      </c>
      <c r="S290" s="3" t="s">
        <v>306</v>
      </c>
      <c r="T290" s="94">
        <v>5585004</v>
      </c>
      <c r="U290" s="3" t="s">
        <v>310</v>
      </c>
      <c r="V290" s="94">
        <v>3458215</v>
      </c>
      <c r="W290" s="93"/>
      <c r="AK290" s="3" t="s">
        <v>3030</v>
      </c>
      <c r="AM290" s="3" t="s">
        <v>2881</v>
      </c>
      <c r="AO290" s="106"/>
    </row>
    <row r="291" spans="6:41" x14ac:dyDescent="0.25">
      <c r="F291" s="35" t="s">
        <v>1614</v>
      </c>
      <c r="G291" s="46" t="s">
        <v>21</v>
      </c>
      <c r="H291" s="47" t="s">
        <v>1076</v>
      </c>
      <c r="L291" s="3" t="s">
        <v>310</v>
      </c>
      <c r="M291" s="3">
        <v>3458215</v>
      </c>
      <c r="N291" s="3" t="s">
        <v>317</v>
      </c>
      <c r="O291" s="94">
        <v>5458205</v>
      </c>
      <c r="Q291" s="3" t="s">
        <v>346</v>
      </c>
      <c r="R291" s="3" t="s">
        <v>311</v>
      </c>
      <c r="S291" s="3" t="s">
        <v>346</v>
      </c>
      <c r="T291" s="94">
        <v>5548101</v>
      </c>
      <c r="U291" s="3" t="s">
        <v>311</v>
      </c>
      <c r="V291" s="94">
        <v>5454203</v>
      </c>
      <c r="W291" s="93"/>
      <c r="AK291" s="3" t="s">
        <v>3653</v>
      </c>
      <c r="AM291" s="3" t="s">
        <v>3504</v>
      </c>
      <c r="AO291" s="106"/>
    </row>
    <row r="292" spans="6:41" x14ac:dyDescent="0.25">
      <c r="H292" s="38" t="s">
        <v>22</v>
      </c>
      <c r="L292" s="3" t="s">
        <v>311</v>
      </c>
      <c r="M292" s="3">
        <v>5454203</v>
      </c>
      <c r="N292" s="3" t="s">
        <v>318</v>
      </c>
      <c r="O292" s="94">
        <v>5421109</v>
      </c>
      <c r="Q292" s="3" t="s">
        <v>307</v>
      </c>
      <c r="R292" s="3" t="s">
        <v>313</v>
      </c>
      <c r="S292" s="3" t="s">
        <v>307</v>
      </c>
      <c r="T292" s="94">
        <v>5558103</v>
      </c>
      <c r="U292" s="3" t="s">
        <v>313</v>
      </c>
      <c r="V292" s="94">
        <v>5421108</v>
      </c>
      <c r="W292" s="93"/>
      <c r="AK292" s="3" t="s">
        <v>3655</v>
      </c>
      <c r="AM292" s="3" t="s">
        <v>3520</v>
      </c>
      <c r="AO292" s="106"/>
    </row>
    <row r="293" spans="6:41" x14ac:dyDescent="0.25">
      <c r="F293" s="35" t="s">
        <v>1614</v>
      </c>
      <c r="G293" s="46" t="s">
        <v>22</v>
      </c>
      <c r="H293" s="47" t="s">
        <v>1077</v>
      </c>
      <c r="L293" s="3" t="s">
        <v>313</v>
      </c>
      <c r="M293" s="3">
        <v>5421108</v>
      </c>
      <c r="N293" s="3" t="s">
        <v>347</v>
      </c>
      <c r="O293" s="94">
        <v>5434001</v>
      </c>
      <c r="Q293" s="3" t="s">
        <v>309</v>
      </c>
      <c r="R293" s="3" t="s">
        <v>315</v>
      </c>
      <c r="S293" s="3" t="s">
        <v>309</v>
      </c>
      <c r="T293" s="94">
        <v>5585005</v>
      </c>
      <c r="U293" s="3" t="s">
        <v>315</v>
      </c>
      <c r="V293" s="94">
        <v>5481203</v>
      </c>
      <c r="W293" s="93"/>
      <c r="AK293" s="3" t="s">
        <v>3657</v>
      </c>
      <c r="AM293" s="3" t="s">
        <v>3757</v>
      </c>
      <c r="AO293" s="106"/>
    </row>
    <row r="294" spans="6:41" x14ac:dyDescent="0.25">
      <c r="F294" s="35" t="s">
        <v>1614</v>
      </c>
      <c r="G294" s="46" t="s">
        <v>22</v>
      </c>
      <c r="H294" s="47" t="s">
        <v>1078</v>
      </c>
      <c r="L294" s="3" t="s">
        <v>315</v>
      </c>
      <c r="M294" s="3">
        <v>5481203</v>
      </c>
      <c r="N294" s="3" t="s">
        <v>320</v>
      </c>
      <c r="O294" s="94">
        <v>5586302</v>
      </c>
      <c r="Q294" s="3" t="s">
        <v>310</v>
      </c>
      <c r="R294" s="3" t="s">
        <v>316</v>
      </c>
      <c r="S294" s="3" t="s">
        <v>310</v>
      </c>
      <c r="T294" s="94">
        <v>3458215</v>
      </c>
      <c r="U294" s="3" t="s">
        <v>316</v>
      </c>
      <c r="V294" s="94">
        <v>3458211</v>
      </c>
      <c r="W294" s="93"/>
      <c r="AK294" s="3" t="s">
        <v>3659</v>
      </c>
      <c r="AM294" s="3" t="s">
        <v>2882</v>
      </c>
      <c r="AO294" s="106"/>
    </row>
    <row r="295" spans="6:41" x14ac:dyDescent="0.25">
      <c r="F295" s="35" t="s">
        <v>1614</v>
      </c>
      <c r="G295" s="46" t="s">
        <v>22</v>
      </c>
      <c r="H295" s="47" t="s">
        <v>1079</v>
      </c>
      <c r="L295" s="3" t="s">
        <v>316</v>
      </c>
      <c r="M295" s="3">
        <v>3458211</v>
      </c>
      <c r="N295" s="3" t="s">
        <v>348</v>
      </c>
      <c r="O295" s="94">
        <v>5462501</v>
      </c>
      <c r="Q295" s="3" t="s">
        <v>311</v>
      </c>
      <c r="R295" s="3" t="s">
        <v>317</v>
      </c>
      <c r="S295" s="3" t="s">
        <v>311</v>
      </c>
      <c r="T295" s="94">
        <v>5454203</v>
      </c>
      <c r="U295" s="3" t="s">
        <v>317</v>
      </c>
      <c r="V295" s="94">
        <v>5458205</v>
      </c>
      <c r="W295" s="93"/>
      <c r="AK295" s="3" t="s">
        <v>3661</v>
      </c>
      <c r="AM295" s="3" t="s">
        <v>267</v>
      </c>
      <c r="AO295" s="106"/>
    </row>
    <row r="296" spans="6:41" x14ac:dyDescent="0.25">
      <c r="F296" s="35" t="s">
        <v>1614</v>
      </c>
      <c r="G296" s="46" t="s">
        <v>22</v>
      </c>
      <c r="H296" s="47" t="s">
        <v>1080</v>
      </c>
      <c r="L296" s="3" t="s">
        <v>317</v>
      </c>
      <c r="M296" s="3">
        <v>5458205</v>
      </c>
      <c r="N296" s="3" t="s">
        <v>321</v>
      </c>
      <c r="O296" s="94">
        <v>5434402</v>
      </c>
      <c r="Q296" s="3" t="s">
        <v>313</v>
      </c>
      <c r="R296" s="3" t="s">
        <v>318</v>
      </c>
      <c r="S296" s="3" t="s">
        <v>313</v>
      </c>
      <c r="T296" s="94">
        <v>5421108</v>
      </c>
      <c r="U296" s="3" t="s">
        <v>318</v>
      </c>
      <c r="V296" s="94">
        <v>5421109</v>
      </c>
      <c r="W296" s="93"/>
      <c r="AK296" s="3" t="s">
        <v>3663</v>
      </c>
      <c r="AM296" s="3" t="s">
        <v>3032</v>
      </c>
      <c r="AO296" s="106"/>
    </row>
    <row r="297" spans="6:41" x14ac:dyDescent="0.25">
      <c r="F297" s="35" t="s">
        <v>1614</v>
      </c>
      <c r="G297" s="46" t="s">
        <v>22</v>
      </c>
      <c r="H297" s="47" t="s">
        <v>1081</v>
      </c>
      <c r="L297" s="3" t="s">
        <v>318</v>
      </c>
      <c r="M297" s="3">
        <v>5421109</v>
      </c>
      <c r="N297" s="3" t="s">
        <v>349</v>
      </c>
      <c r="O297" s="94">
        <v>5534407</v>
      </c>
      <c r="Q297" s="3" t="s">
        <v>315</v>
      </c>
      <c r="R297" s="3" t="s">
        <v>347</v>
      </c>
      <c r="S297" s="3" t="s">
        <v>315</v>
      </c>
      <c r="T297" s="94">
        <v>5481203</v>
      </c>
      <c r="U297" s="3" t="s">
        <v>347</v>
      </c>
      <c r="V297" s="94">
        <v>5434001</v>
      </c>
      <c r="W297" s="93"/>
      <c r="AK297" s="3" t="s">
        <v>3665</v>
      </c>
      <c r="AM297" s="3" t="s">
        <v>3033</v>
      </c>
      <c r="AO297" s="106"/>
    </row>
    <row r="298" spans="6:41" x14ac:dyDescent="0.25">
      <c r="F298" s="35" t="s">
        <v>1614</v>
      </c>
      <c r="G298" s="46" t="s">
        <v>22</v>
      </c>
      <c r="H298" s="47" t="s">
        <v>1082</v>
      </c>
      <c r="L298" s="3" t="s">
        <v>347</v>
      </c>
      <c r="M298" s="3">
        <v>5434001</v>
      </c>
      <c r="N298" s="3" t="s">
        <v>322</v>
      </c>
      <c r="O298" s="94">
        <v>5434403</v>
      </c>
      <c r="Q298" s="3" t="s">
        <v>316</v>
      </c>
      <c r="R298" s="3" t="s">
        <v>320</v>
      </c>
      <c r="S298" s="3" t="s">
        <v>316</v>
      </c>
      <c r="T298" s="94">
        <v>3458211</v>
      </c>
      <c r="U298" s="3" t="s">
        <v>320</v>
      </c>
      <c r="V298" s="94">
        <v>5586302</v>
      </c>
      <c r="W298" s="93"/>
      <c r="AK298" s="3" t="s">
        <v>3667</v>
      </c>
      <c r="AM298" s="3" t="s">
        <v>3733</v>
      </c>
      <c r="AO298" s="106"/>
    </row>
    <row r="299" spans="6:41" x14ac:dyDescent="0.25">
      <c r="F299" s="35" t="s">
        <v>1614</v>
      </c>
      <c r="G299" s="46" t="s">
        <v>22</v>
      </c>
      <c r="H299" s="47" t="s">
        <v>1083</v>
      </c>
      <c r="L299" s="3" t="s">
        <v>320</v>
      </c>
      <c r="M299" s="3">
        <v>5586302</v>
      </c>
      <c r="N299" s="3" t="s">
        <v>323</v>
      </c>
      <c r="O299" s="94">
        <v>5458206</v>
      </c>
      <c r="Q299" s="3" t="s">
        <v>317</v>
      </c>
      <c r="R299" s="3" t="s">
        <v>348</v>
      </c>
      <c r="S299" s="3" t="s">
        <v>317</v>
      </c>
      <c r="T299" s="94">
        <v>5458205</v>
      </c>
      <c r="U299" s="3" t="s">
        <v>348</v>
      </c>
      <c r="V299" s="94">
        <v>5462501</v>
      </c>
      <c r="W299" s="93"/>
      <c r="AK299" s="3" t="s">
        <v>3669</v>
      </c>
      <c r="AM299" s="3" t="s">
        <v>3103</v>
      </c>
      <c r="AO299" s="106"/>
    </row>
    <row r="300" spans="6:41" x14ac:dyDescent="0.25">
      <c r="F300" s="35" t="s">
        <v>1614</v>
      </c>
      <c r="G300" s="46" t="s">
        <v>22</v>
      </c>
      <c r="H300" s="47" t="s">
        <v>1084</v>
      </c>
      <c r="L300" s="3" t="s">
        <v>348</v>
      </c>
      <c r="M300" s="3">
        <v>5462501</v>
      </c>
      <c r="N300" s="3" t="s">
        <v>324</v>
      </c>
      <c r="O300" s="94">
        <v>5484105</v>
      </c>
      <c r="Q300" s="3" t="s">
        <v>318</v>
      </c>
      <c r="R300" s="3" t="s">
        <v>321</v>
      </c>
      <c r="S300" s="3" t="s">
        <v>318</v>
      </c>
      <c r="T300" s="94">
        <v>5421109</v>
      </c>
      <c r="U300" s="3" t="s">
        <v>321</v>
      </c>
      <c r="V300" s="94">
        <v>5434402</v>
      </c>
      <c r="W300" s="93"/>
      <c r="AK300" s="3" t="s">
        <v>3671</v>
      </c>
      <c r="AM300" s="3" t="s">
        <v>2856</v>
      </c>
      <c r="AO300" s="106"/>
    </row>
    <row r="301" spans="6:41" x14ac:dyDescent="0.25">
      <c r="F301" s="35" t="s">
        <v>1614</v>
      </c>
      <c r="G301" s="46" t="s">
        <v>22</v>
      </c>
      <c r="H301" s="47" t="s">
        <v>1085</v>
      </c>
      <c r="L301" s="3" t="s">
        <v>321</v>
      </c>
      <c r="M301" s="3">
        <v>5434402</v>
      </c>
      <c r="N301" s="3" t="s">
        <v>325</v>
      </c>
      <c r="O301" s="94">
        <v>5484106</v>
      </c>
      <c r="Q301" s="3" t="s">
        <v>347</v>
      </c>
      <c r="R301" s="3" t="s">
        <v>349</v>
      </c>
      <c r="S301" s="3" t="s">
        <v>347</v>
      </c>
      <c r="T301" s="94">
        <v>5434001</v>
      </c>
      <c r="U301" s="3" t="s">
        <v>349</v>
      </c>
      <c r="V301" s="94">
        <v>5534407</v>
      </c>
      <c r="W301" s="93"/>
      <c r="AK301" s="3" t="s">
        <v>3013</v>
      </c>
      <c r="AM301" s="3" t="s">
        <v>3116</v>
      </c>
      <c r="AO301" s="106"/>
    </row>
    <row r="302" spans="6:41" x14ac:dyDescent="0.25">
      <c r="F302" s="35" t="s">
        <v>1614</v>
      </c>
      <c r="G302" s="46" t="s">
        <v>22</v>
      </c>
      <c r="H302" s="47" t="s">
        <v>1086</v>
      </c>
      <c r="L302" s="3" t="s">
        <v>349</v>
      </c>
      <c r="M302" s="3">
        <v>5534407</v>
      </c>
      <c r="N302" s="3" t="s">
        <v>350</v>
      </c>
      <c r="O302" s="94">
        <v>5452511</v>
      </c>
      <c r="Q302" s="3" t="s">
        <v>320</v>
      </c>
      <c r="R302" s="3" t="s">
        <v>322</v>
      </c>
      <c r="S302" s="3" t="s">
        <v>320</v>
      </c>
      <c r="T302" s="94">
        <v>5586302</v>
      </c>
      <c r="U302" s="3" t="s">
        <v>322</v>
      </c>
      <c r="V302" s="94">
        <v>5434403</v>
      </c>
      <c r="W302" s="93"/>
      <c r="AK302" s="3" t="s">
        <v>3674</v>
      </c>
      <c r="AM302" s="3" t="s">
        <v>2904</v>
      </c>
      <c r="AO302" s="106"/>
    </row>
    <row r="303" spans="6:41" x14ac:dyDescent="0.25">
      <c r="H303" s="38" t="s">
        <v>23</v>
      </c>
      <c r="L303" s="3" t="s">
        <v>322</v>
      </c>
      <c r="M303" s="3">
        <v>5434403</v>
      </c>
      <c r="N303" s="3" t="s">
        <v>351</v>
      </c>
      <c r="O303" s="94">
        <v>5452512</v>
      </c>
      <c r="Q303" s="3" t="s">
        <v>348</v>
      </c>
      <c r="R303" s="3" t="s">
        <v>323</v>
      </c>
      <c r="S303" s="3" t="s">
        <v>348</v>
      </c>
      <c r="T303" s="94">
        <v>5462501</v>
      </c>
      <c r="U303" s="3" t="s">
        <v>323</v>
      </c>
      <c r="V303" s="94">
        <v>5458206</v>
      </c>
      <c r="W303" s="93"/>
      <c r="AK303" s="3" t="s">
        <v>3676</v>
      </c>
      <c r="AM303" s="3" t="s">
        <v>278</v>
      </c>
      <c r="AO303" s="106"/>
    </row>
    <row r="304" spans="6:41" x14ac:dyDescent="0.25">
      <c r="F304" s="35" t="s">
        <v>1614</v>
      </c>
      <c r="G304" s="46" t="s">
        <v>23</v>
      </c>
      <c r="H304" s="47" t="s">
        <v>1087</v>
      </c>
      <c r="L304" s="3" t="s">
        <v>323</v>
      </c>
      <c r="M304" s="3">
        <v>5458206</v>
      </c>
      <c r="N304" s="3" t="s">
        <v>352</v>
      </c>
      <c r="O304" s="94">
        <v>5452513</v>
      </c>
      <c r="Q304" s="3" t="s">
        <v>321</v>
      </c>
      <c r="R304" s="3" t="s">
        <v>324</v>
      </c>
      <c r="S304" s="3" t="s">
        <v>321</v>
      </c>
      <c r="T304" s="94">
        <v>5434402</v>
      </c>
      <c r="U304" s="3" t="s">
        <v>324</v>
      </c>
      <c r="V304" s="94">
        <v>5484105</v>
      </c>
      <c r="W304" s="93"/>
      <c r="AK304" s="3" t="s">
        <v>3678</v>
      </c>
      <c r="AM304" s="3" t="s">
        <v>3559</v>
      </c>
      <c r="AO304" s="106"/>
    </row>
    <row r="305" spans="6:41" x14ac:dyDescent="0.25">
      <c r="F305" s="35" t="s">
        <v>1614</v>
      </c>
      <c r="G305" s="46" t="s">
        <v>23</v>
      </c>
      <c r="H305" s="47" t="s">
        <v>1088</v>
      </c>
      <c r="L305" s="3" t="s">
        <v>324</v>
      </c>
      <c r="M305" s="3">
        <v>5484105</v>
      </c>
      <c r="N305" s="3" t="s">
        <v>353</v>
      </c>
      <c r="O305" s="94">
        <v>5552504</v>
      </c>
      <c r="Q305" s="3" t="s">
        <v>349</v>
      </c>
      <c r="R305" s="3" t="s">
        <v>325</v>
      </c>
      <c r="S305" s="3" t="s">
        <v>349</v>
      </c>
      <c r="T305" s="94">
        <v>5534407</v>
      </c>
      <c r="U305" s="3" t="s">
        <v>325</v>
      </c>
      <c r="V305" s="94">
        <v>5484106</v>
      </c>
      <c r="W305" s="93"/>
      <c r="AK305" s="3" t="s">
        <v>3538</v>
      </c>
      <c r="AM305" s="3" t="s">
        <v>3734</v>
      </c>
      <c r="AO305" s="106"/>
    </row>
    <row r="306" spans="6:41" x14ac:dyDescent="0.25">
      <c r="F306" s="35" t="s">
        <v>1614</v>
      </c>
      <c r="G306" s="46" t="s">
        <v>23</v>
      </c>
      <c r="H306" s="47" t="s">
        <v>1089</v>
      </c>
      <c r="L306" s="3" t="s">
        <v>325</v>
      </c>
      <c r="M306" s="3">
        <v>5484106</v>
      </c>
      <c r="N306" s="3" t="s">
        <v>354</v>
      </c>
      <c r="O306" s="94">
        <v>5452403</v>
      </c>
      <c r="Q306" s="3" t="s">
        <v>322</v>
      </c>
      <c r="R306" s="3" t="s">
        <v>350</v>
      </c>
      <c r="S306" s="3" t="s">
        <v>322</v>
      </c>
      <c r="T306" s="94">
        <v>5434403</v>
      </c>
      <c r="U306" s="3" t="s">
        <v>350</v>
      </c>
      <c r="V306" s="94">
        <v>5452511</v>
      </c>
      <c r="W306" s="93"/>
      <c r="AK306" s="3" t="s">
        <v>3736</v>
      </c>
      <c r="AM306" s="3" t="s">
        <v>3100</v>
      </c>
      <c r="AO306" s="106"/>
    </row>
    <row r="307" spans="6:41" x14ac:dyDescent="0.25">
      <c r="H307" s="38" t="s">
        <v>24</v>
      </c>
      <c r="L307" s="3" t="s">
        <v>350</v>
      </c>
      <c r="M307" s="3">
        <v>5452511</v>
      </c>
      <c r="N307" s="3" t="s">
        <v>355</v>
      </c>
      <c r="O307" s="94">
        <v>3452402</v>
      </c>
      <c r="Q307" s="3" t="s">
        <v>323</v>
      </c>
      <c r="R307" s="3" t="s">
        <v>351</v>
      </c>
      <c r="S307" s="3" t="s">
        <v>323</v>
      </c>
      <c r="T307" s="94">
        <v>5458206</v>
      </c>
      <c r="U307" s="3" t="s">
        <v>351</v>
      </c>
      <c r="V307" s="94">
        <v>5452512</v>
      </c>
      <c r="W307" s="93"/>
      <c r="AK307" s="3" t="s">
        <v>2946</v>
      </c>
      <c r="AM307" s="3" t="s">
        <v>3035</v>
      </c>
      <c r="AO307" s="106"/>
    </row>
    <row r="308" spans="6:41" x14ac:dyDescent="0.25">
      <c r="F308" s="35" t="s">
        <v>1614</v>
      </c>
      <c r="G308" s="46" t="s">
        <v>24</v>
      </c>
      <c r="H308" s="47" t="s">
        <v>1090</v>
      </c>
      <c r="L308" s="3" t="s">
        <v>351</v>
      </c>
      <c r="M308" s="3">
        <v>5452512</v>
      </c>
      <c r="N308" s="3" t="s">
        <v>356</v>
      </c>
      <c r="O308" s="94">
        <v>5552406</v>
      </c>
      <c r="Q308" s="3" t="s">
        <v>324</v>
      </c>
      <c r="R308" s="3" t="s">
        <v>352</v>
      </c>
      <c r="S308" s="3" t="s">
        <v>324</v>
      </c>
      <c r="T308" s="94">
        <v>5484105</v>
      </c>
      <c r="U308" s="3" t="s">
        <v>352</v>
      </c>
      <c r="V308" s="94">
        <v>5452513</v>
      </c>
      <c r="W308" s="93"/>
      <c r="AK308" s="3" t="s">
        <v>2927</v>
      </c>
      <c r="AM308" s="3" t="s">
        <v>2891</v>
      </c>
      <c r="AO308" s="106"/>
    </row>
    <row r="309" spans="6:41" x14ac:dyDescent="0.25">
      <c r="F309" s="35" t="s">
        <v>1614</v>
      </c>
      <c r="G309" s="46" t="s">
        <v>24</v>
      </c>
      <c r="H309" s="47" t="s">
        <v>1091</v>
      </c>
      <c r="L309" s="3" t="s">
        <v>352</v>
      </c>
      <c r="M309" s="3">
        <v>5452513</v>
      </c>
      <c r="N309" s="3" t="s">
        <v>357</v>
      </c>
      <c r="O309" s="94">
        <v>5481101</v>
      </c>
      <c r="Q309" s="3" t="s">
        <v>325</v>
      </c>
      <c r="R309" s="3" t="s">
        <v>353</v>
      </c>
      <c r="S309" s="3" t="s">
        <v>325</v>
      </c>
      <c r="T309" s="94">
        <v>5484106</v>
      </c>
      <c r="U309" s="3" t="s">
        <v>353</v>
      </c>
      <c r="V309" s="94">
        <v>5552504</v>
      </c>
      <c r="W309" s="93"/>
      <c r="AK309" s="3" t="s">
        <v>3758</v>
      </c>
      <c r="AM309" s="3" t="s">
        <v>3068</v>
      </c>
      <c r="AO309" s="106"/>
    </row>
    <row r="310" spans="6:41" x14ac:dyDescent="0.25">
      <c r="F310" s="35" t="s">
        <v>1614</v>
      </c>
      <c r="G310" s="46" t="s">
        <v>24</v>
      </c>
      <c r="H310" s="47" t="s">
        <v>1092</v>
      </c>
      <c r="L310" s="3" t="s">
        <v>353</v>
      </c>
      <c r="M310" s="3">
        <v>5552504</v>
      </c>
      <c r="N310" s="3" t="s">
        <v>330</v>
      </c>
      <c r="O310" s="94">
        <v>3581102</v>
      </c>
      <c r="Q310" s="3" t="s">
        <v>350</v>
      </c>
      <c r="R310" s="3" t="s">
        <v>354</v>
      </c>
      <c r="S310" s="3" t="s">
        <v>350</v>
      </c>
      <c r="T310" s="94">
        <v>5452511</v>
      </c>
      <c r="U310" s="3" t="s">
        <v>354</v>
      </c>
      <c r="V310" s="94">
        <v>5452403</v>
      </c>
      <c r="W310" s="93"/>
      <c r="AK310" s="3" t="s">
        <v>3523</v>
      </c>
      <c r="AM310" s="3" t="s">
        <v>3703</v>
      </c>
      <c r="AO310" s="106"/>
    </row>
    <row r="311" spans="6:41" x14ac:dyDescent="0.25">
      <c r="F311" s="35" t="s">
        <v>1614</v>
      </c>
      <c r="G311" s="46" t="s">
        <v>24</v>
      </c>
      <c r="H311" s="47" t="s">
        <v>1093</v>
      </c>
      <c r="L311" s="3" t="s">
        <v>354</v>
      </c>
      <c r="M311" s="3">
        <v>5452403</v>
      </c>
      <c r="N311" s="3" t="s">
        <v>358</v>
      </c>
      <c r="O311" s="94">
        <v>5521108</v>
      </c>
      <c r="Q311" s="3" t="s">
        <v>351</v>
      </c>
      <c r="R311" s="3" t="s">
        <v>355</v>
      </c>
      <c r="S311" s="3" t="s">
        <v>351</v>
      </c>
      <c r="T311" s="94">
        <v>5452512</v>
      </c>
      <c r="U311" s="3" t="s">
        <v>355</v>
      </c>
      <c r="V311" s="94">
        <v>3452402</v>
      </c>
      <c r="W311" s="93"/>
      <c r="AK311" s="3" t="s">
        <v>3038</v>
      </c>
      <c r="AM311" s="3" t="s">
        <v>3064</v>
      </c>
      <c r="AO311" s="106"/>
    </row>
    <row r="312" spans="6:41" x14ac:dyDescent="0.25">
      <c r="F312" s="35" t="s">
        <v>1614</v>
      </c>
      <c r="G312" s="46" t="s">
        <v>24</v>
      </c>
      <c r="H312" s="47" t="s">
        <v>1094</v>
      </c>
      <c r="L312" s="3" t="s">
        <v>355</v>
      </c>
      <c r="M312" s="3">
        <v>3452402</v>
      </c>
      <c r="N312" s="3" t="s">
        <v>331</v>
      </c>
      <c r="O312" s="94">
        <v>5558104</v>
      </c>
      <c r="Q312" s="3" t="s">
        <v>352</v>
      </c>
      <c r="R312" s="3" t="s">
        <v>356</v>
      </c>
      <c r="S312" s="3" t="s">
        <v>352</v>
      </c>
      <c r="T312" s="94">
        <v>5452513</v>
      </c>
      <c r="U312" s="3" t="s">
        <v>356</v>
      </c>
      <c r="V312" s="94">
        <v>5552406</v>
      </c>
      <c r="W312" s="93"/>
      <c r="AK312" s="3" t="s">
        <v>3539</v>
      </c>
      <c r="AM312" s="3" t="s">
        <v>3704</v>
      </c>
      <c r="AO312" s="106"/>
    </row>
    <row r="313" spans="6:41" x14ac:dyDescent="0.25">
      <c r="F313" s="35" t="s">
        <v>1614</v>
      </c>
      <c r="G313" s="46" t="s">
        <v>24</v>
      </c>
      <c r="H313" s="47" t="s">
        <v>1095</v>
      </c>
      <c r="L313" s="3" t="s">
        <v>356</v>
      </c>
      <c r="M313" s="3">
        <v>5552406</v>
      </c>
      <c r="N313" s="3" t="s">
        <v>332</v>
      </c>
      <c r="O313" s="94">
        <v>3452204</v>
      </c>
      <c r="Q313" s="3" t="s">
        <v>353</v>
      </c>
      <c r="R313" s="3" t="s">
        <v>357</v>
      </c>
      <c r="S313" s="3" t="s">
        <v>353</v>
      </c>
      <c r="T313" s="94">
        <v>5552504</v>
      </c>
      <c r="U313" s="3" t="s">
        <v>357</v>
      </c>
      <c r="V313" s="94">
        <v>5481101</v>
      </c>
      <c r="W313" s="93"/>
      <c r="AK313" s="3" t="s">
        <v>3084</v>
      </c>
      <c r="AM313" s="3" t="s">
        <v>3071</v>
      </c>
      <c r="AO313" s="106"/>
    </row>
    <row r="314" spans="6:41" x14ac:dyDescent="0.25">
      <c r="F314" s="35" t="s">
        <v>1614</v>
      </c>
      <c r="G314" s="46" t="s">
        <v>24</v>
      </c>
      <c r="H314" s="47" t="s">
        <v>1096</v>
      </c>
      <c r="L314" s="3" t="s">
        <v>357</v>
      </c>
      <c r="M314" s="3">
        <v>5481101</v>
      </c>
      <c r="N314" s="3" t="s">
        <v>333</v>
      </c>
      <c r="O314" s="94">
        <v>3521502</v>
      </c>
      <c r="Q314" s="3" t="s">
        <v>354</v>
      </c>
      <c r="R314" s="3" t="s">
        <v>330</v>
      </c>
      <c r="S314" s="3" t="s">
        <v>354</v>
      </c>
      <c r="T314" s="94">
        <v>5452403</v>
      </c>
      <c r="U314" s="3" t="s">
        <v>330</v>
      </c>
      <c r="V314" s="94">
        <v>3581102</v>
      </c>
      <c r="W314" s="93"/>
      <c r="AK314" s="3" t="s">
        <v>3737</v>
      </c>
      <c r="AM314" s="3" t="s">
        <v>3073</v>
      </c>
      <c r="AO314" s="106"/>
    </row>
    <row r="315" spans="6:41" x14ac:dyDescent="0.25">
      <c r="F315" s="35" t="s">
        <v>1614</v>
      </c>
      <c r="G315" s="46" t="s">
        <v>24</v>
      </c>
      <c r="H315" s="47" t="s">
        <v>1097</v>
      </c>
      <c r="L315" s="3" t="s">
        <v>330</v>
      </c>
      <c r="M315" s="3">
        <v>3581102</v>
      </c>
      <c r="N315" s="3" t="s">
        <v>335</v>
      </c>
      <c r="O315" s="94">
        <v>3421504</v>
      </c>
      <c r="Q315" s="3" t="s">
        <v>355</v>
      </c>
      <c r="R315" s="3" t="s">
        <v>358</v>
      </c>
      <c r="S315" s="3" t="s">
        <v>355</v>
      </c>
      <c r="T315" s="94">
        <v>3452402</v>
      </c>
      <c r="U315" s="3" t="s">
        <v>358</v>
      </c>
      <c r="V315" s="94">
        <v>5521108</v>
      </c>
      <c r="W315" s="93"/>
      <c r="AK315" s="3" t="s">
        <v>3759</v>
      </c>
      <c r="AM315" s="3" t="s">
        <v>3705</v>
      </c>
      <c r="AO315" s="106"/>
    </row>
    <row r="316" spans="6:41" x14ac:dyDescent="0.25">
      <c r="F316" s="35" t="s">
        <v>1614</v>
      </c>
      <c r="G316" s="46" t="s">
        <v>24</v>
      </c>
      <c r="H316" s="47" t="s">
        <v>1098</v>
      </c>
      <c r="L316" s="3" t="s">
        <v>358</v>
      </c>
      <c r="M316" s="3">
        <v>5521108</v>
      </c>
      <c r="N316" s="3" t="s">
        <v>642</v>
      </c>
      <c r="O316" s="94">
        <v>3458212</v>
      </c>
      <c r="Q316" s="3" t="s">
        <v>356</v>
      </c>
      <c r="R316" s="3" t="s">
        <v>331</v>
      </c>
      <c r="S316" s="3" t="s">
        <v>356</v>
      </c>
      <c r="T316" s="94">
        <v>5552406</v>
      </c>
      <c r="U316" s="3" t="s">
        <v>331</v>
      </c>
      <c r="V316" s="94">
        <v>5558104</v>
      </c>
      <c r="W316" s="93"/>
      <c r="AK316" s="3" t="s">
        <v>3192</v>
      </c>
      <c r="AM316" s="3" t="s">
        <v>3075</v>
      </c>
      <c r="AO316" s="106"/>
    </row>
    <row r="317" spans="6:41" x14ac:dyDescent="0.25">
      <c r="F317" s="35" t="s">
        <v>1614</v>
      </c>
      <c r="G317" s="46" t="s">
        <v>24</v>
      </c>
      <c r="H317" s="47" t="s">
        <v>1099</v>
      </c>
      <c r="L317" s="3" t="s">
        <v>331</v>
      </c>
      <c r="M317" s="3">
        <v>5558104</v>
      </c>
      <c r="N317" s="3" t="s">
        <v>359</v>
      </c>
      <c r="O317" s="94">
        <v>5585301</v>
      </c>
      <c r="Q317" s="3" t="s">
        <v>357</v>
      </c>
      <c r="R317" s="3" t="s">
        <v>332</v>
      </c>
      <c r="S317" s="3" t="s">
        <v>357</v>
      </c>
      <c r="T317" s="94">
        <v>5481101</v>
      </c>
      <c r="U317" s="3" t="s">
        <v>332</v>
      </c>
      <c r="V317" s="94">
        <v>3452204</v>
      </c>
      <c r="W317" s="93"/>
      <c r="AK317" s="3" t="s">
        <v>3179</v>
      </c>
      <c r="AM317" s="3" t="s">
        <v>3706</v>
      </c>
      <c r="AO317" s="106"/>
    </row>
    <row r="318" spans="6:41" x14ac:dyDescent="0.25">
      <c r="H318" s="38" t="s">
        <v>25</v>
      </c>
      <c r="L318" s="3" t="s">
        <v>332</v>
      </c>
      <c r="M318" s="3">
        <v>3452204</v>
      </c>
      <c r="N318" s="3" t="s">
        <v>360</v>
      </c>
      <c r="O318" s="94">
        <v>5485302</v>
      </c>
      <c r="Q318" s="3" t="s">
        <v>330</v>
      </c>
      <c r="R318" s="3" t="s">
        <v>333</v>
      </c>
      <c r="S318" s="3" t="s">
        <v>330</v>
      </c>
      <c r="T318" s="94">
        <v>3581102</v>
      </c>
      <c r="U318" s="3" t="s">
        <v>333</v>
      </c>
      <c r="V318" s="94">
        <v>3521502</v>
      </c>
      <c r="W318" s="93"/>
      <c r="AK318" s="3" t="s">
        <v>3181</v>
      </c>
      <c r="AM318" s="3" t="s">
        <v>3066</v>
      </c>
      <c r="AO318" s="106"/>
    </row>
    <row r="319" spans="6:41" x14ac:dyDescent="0.25">
      <c r="F319" s="35" t="s">
        <v>1614</v>
      </c>
      <c r="G319" s="46" t="s">
        <v>25</v>
      </c>
      <c r="H319" s="47" t="s">
        <v>1100</v>
      </c>
      <c r="L319" s="3" t="s">
        <v>333</v>
      </c>
      <c r="M319" s="3">
        <v>3521502</v>
      </c>
      <c r="N319" s="3" t="s">
        <v>340</v>
      </c>
      <c r="O319" s="94">
        <v>3558208</v>
      </c>
      <c r="Q319" s="3" t="s">
        <v>358</v>
      </c>
      <c r="R319" s="3" t="s">
        <v>335</v>
      </c>
      <c r="S319" s="3" t="s">
        <v>358</v>
      </c>
      <c r="T319" s="94">
        <v>5521108</v>
      </c>
      <c r="U319" s="3" t="s">
        <v>335</v>
      </c>
      <c r="V319" s="94">
        <v>3421504</v>
      </c>
      <c r="W319" s="93"/>
      <c r="AK319" s="3" t="s">
        <v>3696</v>
      </c>
      <c r="AM319" s="3" t="s">
        <v>3707</v>
      </c>
      <c r="AO319" s="106"/>
    </row>
    <row r="320" spans="6:41" x14ac:dyDescent="0.25">
      <c r="F320" s="35" t="s">
        <v>1614</v>
      </c>
      <c r="G320" s="46" t="s">
        <v>25</v>
      </c>
      <c r="H320" s="47" t="s">
        <v>1101</v>
      </c>
      <c r="L320" s="3" t="s">
        <v>335</v>
      </c>
      <c r="M320" s="3">
        <v>3421504</v>
      </c>
      <c r="N320" s="3" t="s">
        <v>361</v>
      </c>
      <c r="O320" s="94">
        <v>5485303</v>
      </c>
      <c r="Q320" s="3" t="s">
        <v>331</v>
      </c>
      <c r="R320" s="3" t="s">
        <v>642</v>
      </c>
      <c r="S320" s="3" t="s">
        <v>331</v>
      </c>
      <c r="T320" s="94">
        <v>5558104</v>
      </c>
      <c r="U320" s="3" t="s">
        <v>642</v>
      </c>
      <c r="V320" s="94">
        <v>3458212</v>
      </c>
      <c r="W320" s="93"/>
      <c r="AK320" s="3" t="s">
        <v>2909</v>
      </c>
      <c r="AM320" s="3" t="s">
        <v>319</v>
      </c>
      <c r="AO320" s="106"/>
    </row>
    <row r="321" spans="6:41" x14ac:dyDescent="0.25">
      <c r="F321" s="35" t="s">
        <v>1614</v>
      </c>
      <c r="G321" s="46" t="s">
        <v>25</v>
      </c>
      <c r="H321" s="47" t="s">
        <v>1102</v>
      </c>
      <c r="L321" s="3" t="s">
        <v>1874</v>
      </c>
      <c r="M321" s="3">
        <v>3458212</v>
      </c>
      <c r="N321" s="3" t="s">
        <v>342</v>
      </c>
      <c r="O321" s="94">
        <v>3552501</v>
      </c>
      <c r="Q321" s="3" t="s">
        <v>332</v>
      </c>
      <c r="R321" s="3" t="s">
        <v>359</v>
      </c>
      <c r="S321" s="3" t="s">
        <v>332</v>
      </c>
      <c r="T321" s="94">
        <v>3452204</v>
      </c>
      <c r="U321" s="3" t="s">
        <v>359</v>
      </c>
      <c r="V321" s="94">
        <v>5585301</v>
      </c>
      <c r="W321" s="93"/>
      <c r="AK321" s="3" t="s">
        <v>3543</v>
      </c>
      <c r="AM321" s="3" t="s">
        <v>3049</v>
      </c>
      <c r="AO321" s="106"/>
    </row>
    <row r="322" spans="6:41" x14ac:dyDescent="0.25">
      <c r="F322" s="35" t="s">
        <v>1614</v>
      </c>
      <c r="G322" s="46" t="s">
        <v>25</v>
      </c>
      <c r="H322" s="47" t="s">
        <v>1103</v>
      </c>
      <c r="L322" s="3" t="s">
        <v>359</v>
      </c>
      <c r="M322" s="3">
        <v>5585301</v>
      </c>
      <c r="N322" s="3" t="s">
        <v>362</v>
      </c>
      <c r="O322" s="94">
        <v>5485304</v>
      </c>
      <c r="Q322" s="3" t="s">
        <v>333</v>
      </c>
      <c r="R322" s="3" t="s">
        <v>360</v>
      </c>
      <c r="S322" s="3" t="s">
        <v>333</v>
      </c>
      <c r="T322" s="94">
        <v>3521502</v>
      </c>
      <c r="U322" s="3" t="s">
        <v>360</v>
      </c>
      <c r="V322" s="94">
        <v>5485302</v>
      </c>
      <c r="W322" s="93"/>
      <c r="AK322" s="3" t="s">
        <v>3117</v>
      </c>
      <c r="AM322" s="3" t="s">
        <v>3051</v>
      </c>
      <c r="AO322" s="106"/>
    </row>
    <row r="323" spans="6:41" x14ac:dyDescent="0.25">
      <c r="F323" s="35" t="s">
        <v>1614</v>
      </c>
      <c r="G323" s="46" t="s">
        <v>25</v>
      </c>
      <c r="H323" s="47" t="s">
        <v>1104</v>
      </c>
      <c r="L323" s="3" t="s">
        <v>360</v>
      </c>
      <c r="M323" s="3">
        <v>5485302</v>
      </c>
      <c r="N323" s="3" t="s">
        <v>363</v>
      </c>
      <c r="O323" s="94">
        <v>5585302</v>
      </c>
      <c r="Q323" s="3" t="s">
        <v>335</v>
      </c>
      <c r="R323" s="3" t="s">
        <v>340</v>
      </c>
      <c r="S323" s="3" t="s">
        <v>335</v>
      </c>
      <c r="T323" s="94">
        <v>3421504</v>
      </c>
      <c r="U323" s="3" t="s">
        <v>340</v>
      </c>
      <c r="V323" s="94">
        <v>3558208</v>
      </c>
      <c r="W323" s="93"/>
      <c r="AK323" s="3" t="s">
        <v>2917</v>
      </c>
      <c r="AM323" s="3" t="s">
        <v>3053</v>
      </c>
      <c r="AO323" s="106"/>
    </row>
    <row r="324" spans="6:41" x14ac:dyDescent="0.25">
      <c r="H324" s="38" t="s">
        <v>26</v>
      </c>
      <c r="L324" s="3" t="s">
        <v>340</v>
      </c>
      <c r="M324" s="3">
        <v>3558208</v>
      </c>
      <c r="N324" s="3" t="s">
        <v>364</v>
      </c>
      <c r="O324" s="94">
        <v>3485302</v>
      </c>
      <c r="Q324" s="3" t="s">
        <v>642</v>
      </c>
      <c r="R324" s="3" t="s">
        <v>361</v>
      </c>
      <c r="S324" s="3" t="s">
        <v>642</v>
      </c>
      <c r="T324" s="94">
        <v>3458212</v>
      </c>
      <c r="U324" s="3" t="s">
        <v>361</v>
      </c>
      <c r="V324" s="94">
        <v>5485303</v>
      </c>
      <c r="W324" s="93"/>
      <c r="AK324" s="3" t="s">
        <v>3183</v>
      </c>
      <c r="AM324" s="3" t="s">
        <v>3059</v>
      </c>
      <c r="AO324" s="106"/>
    </row>
    <row r="325" spans="6:41" x14ac:dyDescent="0.25">
      <c r="F325" s="35" t="s">
        <v>1614</v>
      </c>
      <c r="G325" s="46" t="s">
        <v>26</v>
      </c>
      <c r="H325" s="47" t="s">
        <v>1105</v>
      </c>
      <c r="L325" s="3" t="s">
        <v>361</v>
      </c>
      <c r="M325" s="3">
        <v>5485303</v>
      </c>
      <c r="N325" s="3" t="s">
        <v>365</v>
      </c>
      <c r="O325" s="94">
        <v>5521302</v>
      </c>
      <c r="Q325" s="3" t="s">
        <v>359</v>
      </c>
      <c r="R325" s="3" t="s">
        <v>342</v>
      </c>
      <c r="S325" s="3" t="s">
        <v>359</v>
      </c>
      <c r="T325" s="94">
        <v>5585301</v>
      </c>
      <c r="U325" s="3" t="s">
        <v>342</v>
      </c>
      <c r="V325" s="94">
        <v>3552501</v>
      </c>
      <c r="W325" s="93"/>
      <c r="AK325" s="3" t="s">
        <v>349</v>
      </c>
      <c r="AM325" s="3" t="s">
        <v>3055</v>
      </c>
      <c r="AO325" s="106"/>
    </row>
    <row r="326" spans="6:41" x14ac:dyDescent="0.25">
      <c r="F326" s="35" t="s">
        <v>1614</v>
      </c>
      <c r="G326" s="46" t="s">
        <v>26</v>
      </c>
      <c r="H326" s="47" t="s">
        <v>1106</v>
      </c>
      <c r="L326" s="3" t="s">
        <v>342</v>
      </c>
      <c r="M326" s="3">
        <v>3552501</v>
      </c>
      <c r="N326" s="3" t="s">
        <v>344</v>
      </c>
      <c r="O326" s="94">
        <v>3562202</v>
      </c>
      <c r="Q326" s="3" t="s">
        <v>360</v>
      </c>
      <c r="R326" s="3" t="s">
        <v>362</v>
      </c>
      <c r="S326" s="3" t="s">
        <v>360</v>
      </c>
      <c r="T326" s="94">
        <v>5485302</v>
      </c>
      <c r="U326" s="3" t="s">
        <v>362</v>
      </c>
      <c r="V326" s="94">
        <v>5485304</v>
      </c>
      <c r="W326" s="93"/>
      <c r="AK326" s="3" t="s">
        <v>3738</v>
      </c>
      <c r="AM326" s="3" t="s">
        <v>3057</v>
      </c>
      <c r="AO326" s="106"/>
    </row>
    <row r="327" spans="6:41" x14ac:dyDescent="0.25">
      <c r="F327" s="35" t="s">
        <v>1614</v>
      </c>
      <c r="G327" s="46" t="s">
        <v>26</v>
      </c>
      <c r="H327" s="47" t="s">
        <v>1107</v>
      </c>
      <c r="L327" s="3" t="s">
        <v>362</v>
      </c>
      <c r="M327" s="3">
        <v>5485304</v>
      </c>
      <c r="Q327" s="3" t="s">
        <v>340</v>
      </c>
      <c r="R327" s="3" t="s">
        <v>363</v>
      </c>
      <c r="S327" s="3" t="s">
        <v>340</v>
      </c>
      <c r="T327" s="94">
        <v>3558208</v>
      </c>
      <c r="U327" s="3" t="s">
        <v>363</v>
      </c>
      <c r="V327" s="94">
        <v>5585302</v>
      </c>
      <c r="W327" s="93"/>
      <c r="AK327" s="3" t="s">
        <v>2876</v>
      </c>
      <c r="AM327" s="3" t="s">
        <v>3047</v>
      </c>
      <c r="AO327" s="106"/>
    </row>
    <row r="328" spans="6:41" x14ac:dyDescent="0.25">
      <c r="F328" s="35" t="s">
        <v>1614</v>
      </c>
      <c r="G328" s="46" t="s">
        <v>26</v>
      </c>
      <c r="H328" s="47" t="s">
        <v>1108</v>
      </c>
      <c r="L328" s="3" t="s">
        <v>363</v>
      </c>
      <c r="M328" s="3">
        <v>5585302</v>
      </c>
      <c r="Q328" s="3" t="s">
        <v>361</v>
      </c>
      <c r="R328" s="3" t="s">
        <v>364</v>
      </c>
      <c r="S328" s="3" t="s">
        <v>361</v>
      </c>
      <c r="T328" s="94">
        <v>5485303</v>
      </c>
      <c r="U328" s="3" t="s">
        <v>364</v>
      </c>
      <c r="V328" s="94">
        <v>3485302</v>
      </c>
      <c r="W328" s="93"/>
      <c r="AK328" s="3" t="s">
        <v>2892</v>
      </c>
      <c r="AM328" s="3" t="s">
        <v>3041</v>
      </c>
      <c r="AO328" s="106"/>
    </row>
    <row r="329" spans="6:41" x14ac:dyDescent="0.25">
      <c r="F329" s="35" t="s">
        <v>1614</v>
      </c>
      <c r="G329" s="46" t="s">
        <v>26</v>
      </c>
      <c r="H329" s="47" t="s">
        <v>1109</v>
      </c>
      <c r="L329" s="3" t="s">
        <v>364</v>
      </c>
      <c r="M329" s="3">
        <v>3485302</v>
      </c>
      <c r="Q329" s="3" t="s">
        <v>342</v>
      </c>
      <c r="R329" s="3" t="s">
        <v>365</v>
      </c>
      <c r="S329" s="3" t="s">
        <v>342</v>
      </c>
      <c r="T329" s="94">
        <v>3552501</v>
      </c>
      <c r="U329" s="3" t="s">
        <v>365</v>
      </c>
      <c r="V329" s="94">
        <v>5521302</v>
      </c>
      <c r="W329" s="93"/>
      <c r="AK329" s="3" t="s">
        <v>3111</v>
      </c>
      <c r="AM329" s="3" t="s">
        <v>3089</v>
      </c>
      <c r="AO329" s="106"/>
    </row>
    <row r="330" spans="6:41" x14ac:dyDescent="0.25">
      <c r="H330" s="38" t="s">
        <v>880</v>
      </c>
      <c r="L330" s="3" t="s">
        <v>365</v>
      </c>
      <c r="M330" s="3">
        <v>5521302</v>
      </c>
      <c r="Q330" s="3" t="s">
        <v>362</v>
      </c>
      <c r="R330" s="3" t="s">
        <v>344</v>
      </c>
      <c r="S330" s="3" t="s">
        <v>362</v>
      </c>
      <c r="T330" s="94">
        <v>5485304</v>
      </c>
      <c r="U330" s="3" t="s">
        <v>344</v>
      </c>
      <c r="V330" s="94">
        <v>3562202</v>
      </c>
      <c r="W330" s="93"/>
      <c r="AK330" s="3" t="s">
        <v>356</v>
      </c>
      <c r="AM330" s="3" t="s">
        <v>3708</v>
      </c>
      <c r="AO330" s="106"/>
    </row>
    <row r="331" spans="6:41" x14ac:dyDescent="0.25">
      <c r="F331" s="35" t="s">
        <v>1614</v>
      </c>
      <c r="G331" s="46" t="s">
        <v>880</v>
      </c>
      <c r="H331" s="47" t="s">
        <v>1110</v>
      </c>
      <c r="L331" s="3" t="s">
        <v>344</v>
      </c>
      <c r="M331" s="3">
        <v>3562202</v>
      </c>
      <c r="Q331" s="3" t="s">
        <v>363</v>
      </c>
      <c r="S331" s="3" t="s">
        <v>363</v>
      </c>
      <c r="T331" s="1">
        <v>5585302</v>
      </c>
      <c r="AK331" s="3" t="s">
        <v>358</v>
      </c>
      <c r="AM331" s="3" t="s">
        <v>3120</v>
      </c>
      <c r="AO331" s="106"/>
    </row>
    <row r="332" spans="6:41" x14ac:dyDescent="0.25">
      <c r="F332" s="35" t="s">
        <v>1614</v>
      </c>
      <c r="G332" s="46" t="s">
        <v>880</v>
      </c>
      <c r="H332" s="47" t="s">
        <v>1111</v>
      </c>
      <c r="Q332" s="3" t="s">
        <v>364</v>
      </c>
      <c r="S332" s="3" t="s">
        <v>364</v>
      </c>
      <c r="T332" s="94">
        <v>3485302</v>
      </c>
      <c r="AK332" s="3" t="s">
        <v>3506</v>
      </c>
      <c r="AM332" s="3" t="s">
        <v>2913</v>
      </c>
      <c r="AO332" s="106"/>
    </row>
    <row r="333" spans="6:41" x14ac:dyDescent="0.25">
      <c r="F333" s="35" t="s">
        <v>1614</v>
      </c>
      <c r="G333" s="46" t="s">
        <v>880</v>
      </c>
      <c r="H333" s="47" t="s">
        <v>1112</v>
      </c>
      <c r="Q333" s="3" t="s">
        <v>365</v>
      </c>
      <c r="S333" s="3" t="s">
        <v>365</v>
      </c>
      <c r="T333" s="94">
        <v>5521302</v>
      </c>
      <c r="AK333" s="3" t="s">
        <v>2864</v>
      </c>
      <c r="AM333" s="3" t="s">
        <v>3158</v>
      </c>
      <c r="AO333" s="106"/>
    </row>
    <row r="334" spans="6:41" x14ac:dyDescent="0.25">
      <c r="F334" s="35" t="s">
        <v>1614</v>
      </c>
      <c r="G334" s="46" t="s">
        <v>880</v>
      </c>
      <c r="H334" s="47" t="s">
        <v>1113</v>
      </c>
      <c r="Q334" s="3" t="s">
        <v>344</v>
      </c>
      <c r="S334" s="3" t="s">
        <v>344</v>
      </c>
      <c r="T334" s="94">
        <v>3562202</v>
      </c>
      <c r="AK334" s="3" t="s">
        <v>3508</v>
      </c>
      <c r="AM334" s="3" t="s">
        <v>3709</v>
      </c>
      <c r="AO334" s="106"/>
    </row>
    <row r="335" spans="6:41" x14ac:dyDescent="0.25">
      <c r="F335" s="35" t="s">
        <v>1614</v>
      </c>
      <c r="G335" s="46" t="s">
        <v>880</v>
      </c>
      <c r="H335" s="47" t="s">
        <v>1114</v>
      </c>
      <c r="AK335" s="3" t="s">
        <v>3509</v>
      </c>
      <c r="AM335" s="3" t="s">
        <v>2920</v>
      </c>
      <c r="AO335" s="106"/>
    </row>
    <row r="336" spans="6:41" x14ac:dyDescent="0.25">
      <c r="F336" s="35" t="s">
        <v>1614</v>
      </c>
      <c r="G336" s="46" t="s">
        <v>880</v>
      </c>
      <c r="H336" s="47" t="s">
        <v>1115</v>
      </c>
      <c r="AK336" s="3" t="s">
        <v>2858</v>
      </c>
      <c r="AM336" s="3" t="s">
        <v>3029</v>
      </c>
      <c r="AO336" s="106"/>
    </row>
    <row r="337" spans="6:41" x14ac:dyDescent="0.25">
      <c r="F337" s="35" t="s">
        <v>1614</v>
      </c>
      <c r="G337" s="46" t="s">
        <v>880</v>
      </c>
      <c r="H337" s="47" t="s">
        <v>1116</v>
      </c>
      <c r="AK337" s="3" t="s">
        <v>3510</v>
      </c>
      <c r="AM337" s="3" t="s">
        <v>3030</v>
      </c>
      <c r="AO337" s="106"/>
    </row>
    <row r="338" spans="6:41" x14ac:dyDescent="0.25">
      <c r="F338" s="35" t="s">
        <v>1614</v>
      </c>
      <c r="G338" s="46" t="s">
        <v>880</v>
      </c>
      <c r="H338" s="47" t="s">
        <v>1117</v>
      </c>
      <c r="AK338" s="3" t="s">
        <v>333</v>
      </c>
      <c r="AM338" s="3" t="s">
        <v>3653</v>
      </c>
      <c r="AO338" s="106"/>
    </row>
    <row r="339" spans="6:41" x14ac:dyDescent="0.25">
      <c r="F339" s="35" t="s">
        <v>1614</v>
      </c>
      <c r="G339" s="46" t="s">
        <v>880</v>
      </c>
      <c r="H339" s="47" t="s">
        <v>1118</v>
      </c>
      <c r="AK339" s="3" t="s">
        <v>335</v>
      </c>
      <c r="AM339" s="3" t="s">
        <v>3655</v>
      </c>
      <c r="AO339" s="106"/>
    </row>
    <row r="340" spans="6:41" x14ac:dyDescent="0.25">
      <c r="F340" s="35" t="s">
        <v>1614</v>
      </c>
      <c r="G340" s="46" t="s">
        <v>880</v>
      </c>
      <c r="H340" s="47" t="s">
        <v>1119</v>
      </c>
      <c r="AK340" s="3" t="s">
        <v>3169</v>
      </c>
      <c r="AM340" s="3" t="s">
        <v>3657</v>
      </c>
      <c r="AO340" s="106"/>
    </row>
    <row r="341" spans="6:41" x14ac:dyDescent="0.25">
      <c r="F341" s="35" t="s">
        <v>1614</v>
      </c>
      <c r="G341" s="46" t="s">
        <v>880</v>
      </c>
      <c r="H341" s="47" t="s">
        <v>1120</v>
      </c>
      <c r="AK341" s="3" t="s">
        <v>340</v>
      </c>
      <c r="AM341" s="3" t="s">
        <v>3659</v>
      </c>
      <c r="AO341" s="106"/>
    </row>
    <row r="342" spans="6:41" x14ac:dyDescent="0.25">
      <c r="F342" s="35" t="s">
        <v>1614</v>
      </c>
      <c r="G342" s="46" t="s">
        <v>880</v>
      </c>
      <c r="H342" s="47" t="s">
        <v>1121</v>
      </c>
      <c r="AK342" s="3" t="s">
        <v>3188</v>
      </c>
      <c r="AM342" s="3" t="s">
        <v>3661</v>
      </c>
      <c r="AO342" s="106"/>
    </row>
    <row r="343" spans="6:41" x14ac:dyDescent="0.25">
      <c r="H343" s="38" t="s">
        <v>914</v>
      </c>
      <c r="AK343" s="3" t="s">
        <v>3166</v>
      </c>
      <c r="AM343" s="3" t="s">
        <v>3663</v>
      </c>
      <c r="AO343" s="106"/>
    </row>
    <row r="344" spans="6:41" x14ac:dyDescent="0.25">
      <c r="F344" s="35" t="s">
        <v>1614</v>
      </c>
      <c r="G344" s="46" t="s">
        <v>914</v>
      </c>
      <c r="H344" s="47" t="s">
        <v>1122</v>
      </c>
      <c r="AK344" s="3" t="s">
        <v>3540</v>
      </c>
      <c r="AM344" s="3" t="s">
        <v>3665</v>
      </c>
      <c r="AO344" s="106"/>
    </row>
    <row r="345" spans="6:41" x14ac:dyDescent="0.25">
      <c r="F345" s="35" t="s">
        <v>1614</v>
      </c>
      <c r="G345" s="46" t="s">
        <v>914</v>
      </c>
      <c r="H345" s="47" t="s">
        <v>1123</v>
      </c>
      <c r="AK345" s="3" t="s">
        <v>365</v>
      </c>
      <c r="AM345" s="3" t="s">
        <v>3667</v>
      </c>
      <c r="AO345" s="106"/>
    </row>
    <row r="346" spans="6:41" x14ac:dyDescent="0.25">
      <c r="F346" s="35" t="s">
        <v>1614</v>
      </c>
      <c r="G346" s="46" t="s">
        <v>914</v>
      </c>
      <c r="H346" s="47" t="s">
        <v>1124</v>
      </c>
      <c r="AK346" s="3" t="s">
        <v>344</v>
      </c>
      <c r="AM346" s="3" t="s">
        <v>3669</v>
      </c>
      <c r="AO346" s="106"/>
    </row>
    <row r="347" spans="6:41" x14ac:dyDescent="0.25">
      <c r="F347" s="35" t="s">
        <v>1614</v>
      </c>
      <c r="G347" s="46" t="s">
        <v>914</v>
      </c>
      <c r="H347" s="47" t="s">
        <v>1125</v>
      </c>
      <c r="AM347" s="3" t="s">
        <v>3671</v>
      </c>
    </row>
    <row r="348" spans="6:41" x14ac:dyDescent="0.25">
      <c r="F348" s="35" t="s">
        <v>1614</v>
      </c>
      <c r="G348" s="46" t="s">
        <v>914</v>
      </c>
      <c r="H348" s="47" t="s">
        <v>1126</v>
      </c>
      <c r="AM348" s="3" t="s">
        <v>3013</v>
      </c>
    </row>
    <row r="349" spans="6:41" x14ac:dyDescent="0.25">
      <c r="F349" s="35" t="s">
        <v>1614</v>
      </c>
      <c r="G349" s="46" t="s">
        <v>914</v>
      </c>
      <c r="H349" s="47" t="s">
        <v>1127</v>
      </c>
      <c r="AM349" s="3" t="s">
        <v>3674</v>
      </c>
    </row>
    <row r="350" spans="6:41" x14ac:dyDescent="0.25">
      <c r="F350" s="35" t="s">
        <v>1614</v>
      </c>
      <c r="G350" s="46" t="s">
        <v>914</v>
      </c>
      <c r="H350" s="47" t="s">
        <v>1128</v>
      </c>
      <c r="AM350" s="3" t="s">
        <v>3676</v>
      </c>
    </row>
    <row r="351" spans="6:41" x14ac:dyDescent="0.25">
      <c r="H351" s="38" t="s">
        <v>27</v>
      </c>
      <c r="AM351" s="3" t="s">
        <v>3678</v>
      </c>
    </row>
    <row r="352" spans="6:41" x14ac:dyDescent="0.25">
      <c r="F352" s="35" t="s">
        <v>1614</v>
      </c>
      <c r="G352" s="46" t="s">
        <v>27</v>
      </c>
      <c r="H352" s="47" t="s">
        <v>1129</v>
      </c>
      <c r="AM352" s="3" t="s">
        <v>3538</v>
      </c>
    </row>
    <row r="353" spans="6:39" x14ac:dyDescent="0.25">
      <c r="F353" s="35" t="s">
        <v>1614</v>
      </c>
      <c r="G353" s="46" t="s">
        <v>27</v>
      </c>
      <c r="H353" s="47" t="s">
        <v>1130</v>
      </c>
      <c r="AM353" s="3" t="s">
        <v>3736</v>
      </c>
    </row>
    <row r="354" spans="6:39" x14ac:dyDescent="0.25">
      <c r="F354" s="35" t="s">
        <v>1614</v>
      </c>
      <c r="G354" s="46" t="s">
        <v>27</v>
      </c>
      <c r="H354" s="47" t="s">
        <v>1131</v>
      </c>
      <c r="AM354" s="3" t="s">
        <v>2946</v>
      </c>
    </row>
    <row r="355" spans="6:39" x14ac:dyDescent="0.25">
      <c r="F355" s="35" t="s">
        <v>1614</v>
      </c>
      <c r="G355" s="46" t="s">
        <v>27</v>
      </c>
      <c r="H355" s="47" t="s">
        <v>3428</v>
      </c>
      <c r="AM355" s="3" t="s">
        <v>2927</v>
      </c>
    </row>
    <row r="356" spans="6:39" x14ac:dyDescent="0.25">
      <c r="F356" s="35" t="s">
        <v>1614</v>
      </c>
      <c r="G356" s="46" t="s">
        <v>27</v>
      </c>
      <c r="H356" s="47" t="s">
        <v>1132</v>
      </c>
      <c r="AM356" s="3" t="s">
        <v>3758</v>
      </c>
    </row>
    <row r="357" spans="6:39" x14ac:dyDescent="0.25">
      <c r="H357" s="38" t="s">
        <v>28</v>
      </c>
      <c r="AM357" s="3" t="s">
        <v>3523</v>
      </c>
    </row>
    <row r="358" spans="6:39" x14ac:dyDescent="0.25">
      <c r="F358" s="35" t="s">
        <v>1614</v>
      </c>
      <c r="G358" s="46" t="s">
        <v>28</v>
      </c>
      <c r="H358" s="47" t="s">
        <v>1133</v>
      </c>
      <c r="AM358" s="3" t="s">
        <v>3106</v>
      </c>
    </row>
    <row r="359" spans="6:39" x14ac:dyDescent="0.25">
      <c r="F359" s="35" t="s">
        <v>1614</v>
      </c>
      <c r="G359" s="46" t="s">
        <v>28</v>
      </c>
      <c r="H359" s="47" t="s">
        <v>1134</v>
      </c>
      <c r="AM359" s="3" t="s">
        <v>3038</v>
      </c>
    </row>
    <row r="360" spans="6:39" x14ac:dyDescent="0.25">
      <c r="F360" s="35" t="s">
        <v>1614</v>
      </c>
      <c r="G360" s="46" t="s">
        <v>28</v>
      </c>
      <c r="H360" s="47" t="s">
        <v>1135</v>
      </c>
      <c r="AM360" s="3" t="s">
        <v>3539</v>
      </c>
    </row>
    <row r="361" spans="6:39" x14ac:dyDescent="0.25">
      <c r="F361" s="35" t="s">
        <v>1614</v>
      </c>
      <c r="G361" s="46" t="s">
        <v>28</v>
      </c>
      <c r="H361" s="47" t="s">
        <v>1136</v>
      </c>
      <c r="AM361" s="3" t="s">
        <v>3710</v>
      </c>
    </row>
    <row r="362" spans="6:39" x14ac:dyDescent="0.25">
      <c r="F362" s="35" t="s">
        <v>1614</v>
      </c>
      <c r="G362" s="46" t="s">
        <v>28</v>
      </c>
      <c r="H362" s="47" t="s">
        <v>1137</v>
      </c>
      <c r="AM362" s="3" t="s">
        <v>3084</v>
      </c>
    </row>
    <row r="363" spans="6:39" x14ac:dyDescent="0.25">
      <c r="F363" s="35" t="s">
        <v>1614</v>
      </c>
      <c r="G363" s="46" t="s">
        <v>28</v>
      </c>
      <c r="H363" s="49" t="s">
        <v>1138</v>
      </c>
      <c r="AM363" s="3" t="s">
        <v>3737</v>
      </c>
    </row>
    <row r="364" spans="6:39" x14ac:dyDescent="0.25">
      <c r="F364" s="35" t="s">
        <v>1614</v>
      </c>
      <c r="G364" s="46" t="s">
        <v>28</v>
      </c>
      <c r="H364" s="47" t="s">
        <v>1139</v>
      </c>
      <c r="AM364" s="3" t="s">
        <v>3759</v>
      </c>
    </row>
    <row r="365" spans="6:39" x14ac:dyDescent="0.25">
      <c r="F365" s="35" t="s">
        <v>1614</v>
      </c>
      <c r="G365" s="46" t="s">
        <v>28</v>
      </c>
      <c r="H365" s="47" t="s">
        <v>1140</v>
      </c>
      <c r="AM365" s="3" t="s">
        <v>3192</v>
      </c>
    </row>
    <row r="366" spans="6:39" x14ac:dyDescent="0.25">
      <c r="H366" s="38" t="s">
        <v>29</v>
      </c>
      <c r="AM366" s="3" t="s">
        <v>3179</v>
      </c>
    </row>
    <row r="367" spans="6:39" x14ac:dyDescent="0.25">
      <c r="F367" s="35" t="s">
        <v>1614</v>
      </c>
      <c r="G367" s="46" t="s">
        <v>29</v>
      </c>
      <c r="H367" s="50" t="s">
        <v>1141</v>
      </c>
      <c r="AM367" s="3" t="s">
        <v>3181</v>
      </c>
    </row>
    <row r="368" spans="6:39" x14ac:dyDescent="0.25">
      <c r="F368" s="35" t="s">
        <v>1614</v>
      </c>
      <c r="G368" s="46" t="s">
        <v>29</v>
      </c>
      <c r="H368" s="50" t="s">
        <v>1142</v>
      </c>
      <c r="AM368" s="3" t="s">
        <v>3696</v>
      </c>
    </row>
    <row r="369" spans="6:39" x14ac:dyDescent="0.25">
      <c r="F369" s="35" t="s">
        <v>1614</v>
      </c>
      <c r="G369" s="46" t="s">
        <v>29</v>
      </c>
      <c r="H369" s="50" t="s">
        <v>1143</v>
      </c>
      <c r="AM369" s="3" t="s">
        <v>2909</v>
      </c>
    </row>
    <row r="370" spans="6:39" x14ac:dyDescent="0.25">
      <c r="F370" s="35" t="s">
        <v>1614</v>
      </c>
      <c r="G370" s="46" t="s">
        <v>29</v>
      </c>
      <c r="H370" s="50" t="s">
        <v>1144</v>
      </c>
      <c r="AM370" s="3" t="s">
        <v>3543</v>
      </c>
    </row>
    <row r="371" spans="6:39" x14ac:dyDescent="0.25">
      <c r="F371" s="35" t="s">
        <v>1614</v>
      </c>
      <c r="G371" s="46" t="s">
        <v>29</v>
      </c>
      <c r="H371" s="50" t="s">
        <v>1145</v>
      </c>
      <c r="AM371" s="3" t="s">
        <v>3117</v>
      </c>
    </row>
    <row r="372" spans="6:39" x14ac:dyDescent="0.25">
      <c r="F372" s="35" t="s">
        <v>1614</v>
      </c>
      <c r="G372" s="46" t="s">
        <v>29</v>
      </c>
      <c r="H372" s="50" t="s">
        <v>1146</v>
      </c>
      <c r="AM372" s="3" t="s">
        <v>2917</v>
      </c>
    </row>
    <row r="373" spans="6:39" x14ac:dyDescent="0.25">
      <c r="F373" s="35" t="s">
        <v>1614</v>
      </c>
      <c r="G373" s="46" t="s">
        <v>29</v>
      </c>
      <c r="H373" s="50" t="s">
        <v>1147</v>
      </c>
      <c r="AM373" s="3" t="s">
        <v>3183</v>
      </c>
    </row>
    <row r="374" spans="6:39" x14ac:dyDescent="0.25">
      <c r="F374" s="35" t="s">
        <v>1614</v>
      </c>
      <c r="G374" s="46" t="s">
        <v>29</v>
      </c>
      <c r="H374" s="50" t="s">
        <v>1148</v>
      </c>
      <c r="AM374" s="3" t="s">
        <v>349</v>
      </c>
    </row>
    <row r="375" spans="6:39" x14ac:dyDescent="0.25">
      <c r="F375" s="35" t="s">
        <v>1614</v>
      </c>
      <c r="G375" s="46" t="s">
        <v>29</v>
      </c>
      <c r="H375" s="50" t="s">
        <v>1149</v>
      </c>
      <c r="AM375" s="3" t="s">
        <v>3738</v>
      </c>
    </row>
    <row r="376" spans="6:39" x14ac:dyDescent="0.25">
      <c r="F376" s="35" t="s">
        <v>1614</v>
      </c>
      <c r="G376" s="46" t="s">
        <v>29</v>
      </c>
      <c r="H376" s="49" t="s">
        <v>1150</v>
      </c>
      <c r="AM376" s="3" t="s">
        <v>2876</v>
      </c>
    </row>
    <row r="377" spans="6:39" x14ac:dyDescent="0.25">
      <c r="H377" s="38" t="s">
        <v>30</v>
      </c>
      <c r="AM377" s="3" t="s">
        <v>2892</v>
      </c>
    </row>
    <row r="378" spans="6:39" x14ac:dyDescent="0.25">
      <c r="F378" s="35" t="s">
        <v>1614</v>
      </c>
      <c r="G378" s="46" t="s">
        <v>30</v>
      </c>
      <c r="H378" s="47" t="s">
        <v>1151</v>
      </c>
      <c r="AM378" s="3" t="s">
        <v>2873</v>
      </c>
    </row>
    <row r="379" spans="6:39" x14ac:dyDescent="0.25">
      <c r="F379" s="35" t="s">
        <v>1614</v>
      </c>
      <c r="G379" s="46" t="s">
        <v>30</v>
      </c>
      <c r="H379" s="47" t="s">
        <v>1152</v>
      </c>
      <c r="AM379" s="3" t="s">
        <v>3111</v>
      </c>
    </row>
    <row r="380" spans="6:39" x14ac:dyDescent="0.25">
      <c r="F380" s="35" t="s">
        <v>1614</v>
      </c>
      <c r="G380" s="46" t="s">
        <v>30</v>
      </c>
      <c r="H380" s="47" t="s">
        <v>1153</v>
      </c>
      <c r="AM380" s="3" t="s">
        <v>356</v>
      </c>
    </row>
    <row r="381" spans="6:39" x14ac:dyDescent="0.25">
      <c r="F381" s="35" t="s">
        <v>1614</v>
      </c>
      <c r="G381" s="46" t="s">
        <v>30</v>
      </c>
      <c r="H381" s="47" t="s">
        <v>1154</v>
      </c>
      <c r="AM381" s="3" t="s">
        <v>358</v>
      </c>
    </row>
    <row r="382" spans="6:39" x14ac:dyDescent="0.25">
      <c r="F382" s="35" t="s">
        <v>1614</v>
      </c>
      <c r="G382" s="46" t="s">
        <v>30</v>
      </c>
      <c r="H382" s="47" t="s">
        <v>1155</v>
      </c>
      <c r="AM382" s="3" t="s">
        <v>2893</v>
      </c>
    </row>
    <row r="383" spans="6:39" x14ac:dyDescent="0.25">
      <c r="F383" s="35" t="s">
        <v>1614</v>
      </c>
      <c r="G383" s="46" t="s">
        <v>30</v>
      </c>
      <c r="H383" s="47" t="s">
        <v>1156</v>
      </c>
      <c r="AM383" s="3" t="s">
        <v>3506</v>
      </c>
    </row>
    <row r="384" spans="6:39" x14ac:dyDescent="0.25">
      <c r="F384" s="35" t="s">
        <v>1614</v>
      </c>
      <c r="G384" s="46" t="s">
        <v>30</v>
      </c>
      <c r="H384" s="47" t="s">
        <v>1157</v>
      </c>
      <c r="AM384" s="3" t="s">
        <v>2864</v>
      </c>
    </row>
    <row r="385" spans="6:39" x14ac:dyDescent="0.25">
      <c r="F385" s="35" t="s">
        <v>1614</v>
      </c>
      <c r="G385" s="46" t="s">
        <v>30</v>
      </c>
      <c r="H385" s="47" t="s">
        <v>1158</v>
      </c>
      <c r="AM385" s="3" t="s">
        <v>3508</v>
      </c>
    </row>
    <row r="386" spans="6:39" x14ac:dyDescent="0.25">
      <c r="F386" s="35" t="s">
        <v>1614</v>
      </c>
      <c r="G386" s="46" t="s">
        <v>30</v>
      </c>
      <c r="H386" s="47" t="s">
        <v>1159</v>
      </c>
      <c r="AM386" s="3" t="s">
        <v>3509</v>
      </c>
    </row>
    <row r="387" spans="6:39" x14ac:dyDescent="0.25">
      <c r="F387" s="35" t="s">
        <v>1614</v>
      </c>
      <c r="G387" s="46" t="s">
        <v>30</v>
      </c>
      <c r="H387" s="47" t="s">
        <v>1160</v>
      </c>
      <c r="AM387" s="3" t="s">
        <v>2858</v>
      </c>
    </row>
    <row r="388" spans="6:39" x14ac:dyDescent="0.25">
      <c r="F388" s="35" t="s">
        <v>1614</v>
      </c>
      <c r="G388" s="46" t="s">
        <v>30</v>
      </c>
      <c r="H388" s="47" t="s">
        <v>1161</v>
      </c>
      <c r="AM388" s="3" t="s">
        <v>3510</v>
      </c>
    </row>
    <row r="389" spans="6:39" x14ac:dyDescent="0.25">
      <c r="H389" s="38" t="s">
        <v>928</v>
      </c>
      <c r="AM389" s="3" t="s">
        <v>333</v>
      </c>
    </row>
    <row r="390" spans="6:39" x14ac:dyDescent="0.25">
      <c r="F390" s="35" t="s">
        <v>1614</v>
      </c>
      <c r="G390" s="46" t="s">
        <v>928</v>
      </c>
      <c r="H390" s="47" t="s">
        <v>1162</v>
      </c>
      <c r="AM390" s="3" t="s">
        <v>335</v>
      </c>
    </row>
    <row r="391" spans="6:39" x14ac:dyDescent="0.25">
      <c r="F391" s="35" t="s">
        <v>1614</v>
      </c>
      <c r="G391" s="46" t="s">
        <v>928</v>
      </c>
      <c r="H391" s="47" t="s">
        <v>1163</v>
      </c>
      <c r="AM391" s="3" t="s">
        <v>3169</v>
      </c>
    </row>
    <row r="392" spans="6:39" x14ac:dyDescent="0.25">
      <c r="F392" s="35" t="s">
        <v>1614</v>
      </c>
      <c r="G392" s="46" t="s">
        <v>928</v>
      </c>
      <c r="H392" s="47" t="s">
        <v>1164</v>
      </c>
      <c r="AM392" s="3" t="s">
        <v>340</v>
      </c>
    </row>
    <row r="393" spans="6:39" x14ac:dyDescent="0.25">
      <c r="F393" s="35" t="s">
        <v>1614</v>
      </c>
      <c r="G393" s="46" t="s">
        <v>928</v>
      </c>
      <c r="H393" s="47" t="s">
        <v>1165</v>
      </c>
      <c r="AM393" s="3" t="s">
        <v>3188</v>
      </c>
    </row>
    <row r="394" spans="6:39" x14ac:dyDescent="0.25">
      <c r="F394" s="35" t="s">
        <v>1614</v>
      </c>
      <c r="G394" s="46" t="s">
        <v>928</v>
      </c>
      <c r="H394" s="47" t="s">
        <v>1166</v>
      </c>
      <c r="AM394" s="3" t="s">
        <v>3166</v>
      </c>
    </row>
    <row r="395" spans="6:39" x14ac:dyDescent="0.25">
      <c r="F395" s="35" t="s">
        <v>1614</v>
      </c>
      <c r="G395" s="46" t="s">
        <v>928</v>
      </c>
      <c r="H395" s="47" t="s">
        <v>1167</v>
      </c>
      <c r="AM395" s="3" t="s">
        <v>2889</v>
      </c>
    </row>
    <row r="396" spans="6:39" x14ac:dyDescent="0.25">
      <c r="F396" s="35" t="s">
        <v>1614</v>
      </c>
      <c r="G396" s="46" t="s">
        <v>928</v>
      </c>
      <c r="H396" s="47" t="s">
        <v>1168</v>
      </c>
      <c r="AM396" s="3" t="s">
        <v>3540</v>
      </c>
    </row>
    <row r="397" spans="6:39" x14ac:dyDescent="0.25">
      <c r="F397" s="35" t="s">
        <v>1614</v>
      </c>
      <c r="G397" s="46" t="s">
        <v>928</v>
      </c>
      <c r="H397" s="51" t="s">
        <v>1169</v>
      </c>
      <c r="AM397" s="3" t="s">
        <v>365</v>
      </c>
    </row>
    <row r="398" spans="6:39" x14ac:dyDescent="0.25">
      <c r="H398" s="38" t="s">
        <v>31</v>
      </c>
      <c r="AM398" s="3" t="s">
        <v>344</v>
      </c>
    </row>
    <row r="399" spans="6:39" x14ac:dyDescent="0.25">
      <c r="F399" s="35" t="s">
        <v>1614</v>
      </c>
      <c r="G399" s="46" t="s">
        <v>31</v>
      </c>
      <c r="H399" s="47" t="s">
        <v>1170</v>
      </c>
    </row>
    <row r="400" spans="6:39" x14ac:dyDescent="0.25">
      <c r="F400" s="35" t="s">
        <v>1614</v>
      </c>
      <c r="G400" s="46" t="s">
        <v>31</v>
      </c>
      <c r="H400" s="47" t="s">
        <v>1171</v>
      </c>
    </row>
    <row r="401" spans="6:8" x14ac:dyDescent="0.25">
      <c r="F401" s="35" t="s">
        <v>1614</v>
      </c>
      <c r="G401" s="46" t="s">
        <v>31</v>
      </c>
      <c r="H401" s="47" t="s">
        <v>1172</v>
      </c>
    </row>
    <row r="402" spans="6:8" x14ac:dyDescent="0.25">
      <c r="F402" s="35" t="s">
        <v>1614</v>
      </c>
      <c r="G402" s="46" t="s">
        <v>31</v>
      </c>
      <c r="H402" s="47" t="s">
        <v>1173</v>
      </c>
    </row>
    <row r="403" spans="6:8" x14ac:dyDescent="0.25">
      <c r="F403" s="35" t="s">
        <v>1614</v>
      </c>
      <c r="G403" s="46" t="s">
        <v>31</v>
      </c>
      <c r="H403" s="47" t="s">
        <v>1174</v>
      </c>
    </row>
    <row r="404" spans="6:8" x14ac:dyDescent="0.25">
      <c r="F404" s="35" t="s">
        <v>1614</v>
      </c>
      <c r="G404" s="46" t="s">
        <v>31</v>
      </c>
      <c r="H404" s="47" t="s">
        <v>1175</v>
      </c>
    </row>
    <row r="405" spans="6:8" x14ac:dyDescent="0.25">
      <c r="H405" s="38" t="s">
        <v>1176</v>
      </c>
    </row>
    <row r="406" spans="6:8" x14ac:dyDescent="0.25">
      <c r="F406" s="35" t="s">
        <v>1614</v>
      </c>
      <c r="G406" s="46" t="s">
        <v>826</v>
      </c>
      <c r="H406" s="52" t="s">
        <v>1177</v>
      </c>
    </row>
    <row r="407" spans="6:8" x14ac:dyDescent="0.25">
      <c r="F407" s="35" t="s">
        <v>1614</v>
      </c>
      <c r="G407" s="46" t="s">
        <v>826</v>
      </c>
      <c r="H407" s="49" t="s">
        <v>1178</v>
      </c>
    </row>
    <row r="408" spans="6:8" x14ac:dyDescent="0.25">
      <c r="F408" s="35" t="s">
        <v>1614</v>
      </c>
      <c r="G408" s="46" t="s">
        <v>826</v>
      </c>
      <c r="H408" s="49" t="s">
        <v>1179</v>
      </c>
    </row>
    <row r="409" spans="6:8" x14ac:dyDescent="0.25">
      <c r="F409" s="35" t="s">
        <v>1614</v>
      </c>
      <c r="G409" s="46" t="s">
        <v>826</v>
      </c>
      <c r="H409" s="52" t="s">
        <v>1180</v>
      </c>
    </row>
    <row r="410" spans="6:8" x14ac:dyDescent="0.25">
      <c r="F410" s="35" t="s">
        <v>1614</v>
      </c>
      <c r="G410" s="46" t="s">
        <v>826</v>
      </c>
      <c r="H410" s="52" t="s">
        <v>1181</v>
      </c>
    </row>
    <row r="411" spans="6:8" x14ac:dyDescent="0.25">
      <c r="F411" s="35" t="s">
        <v>1614</v>
      </c>
      <c r="G411" s="46" t="s">
        <v>826</v>
      </c>
      <c r="H411" s="49" t="s">
        <v>1182</v>
      </c>
    </row>
    <row r="412" spans="6:8" x14ac:dyDescent="0.25">
      <c r="F412" s="35" t="s">
        <v>1614</v>
      </c>
      <c r="G412" s="46" t="s">
        <v>826</v>
      </c>
      <c r="H412" s="52" t="s">
        <v>1183</v>
      </c>
    </row>
    <row r="413" spans="6:8" x14ac:dyDescent="0.25">
      <c r="F413" s="35" t="s">
        <v>1614</v>
      </c>
      <c r="G413" s="46" t="s">
        <v>826</v>
      </c>
      <c r="H413" s="52" t="s">
        <v>1184</v>
      </c>
    </row>
    <row r="414" spans="6:8" x14ac:dyDescent="0.25">
      <c r="F414" s="35" t="s">
        <v>1614</v>
      </c>
      <c r="G414" s="46" t="s">
        <v>826</v>
      </c>
      <c r="H414" s="47" t="s">
        <v>1185</v>
      </c>
    </row>
    <row r="415" spans="6:8" x14ac:dyDescent="0.25">
      <c r="F415" s="35" t="s">
        <v>1614</v>
      </c>
      <c r="G415" s="46" t="s">
        <v>826</v>
      </c>
      <c r="H415" s="47" t="s">
        <v>1186</v>
      </c>
    </row>
    <row r="416" spans="6:8" x14ac:dyDescent="0.25">
      <c r="F416" s="35" t="s">
        <v>1614</v>
      </c>
      <c r="G416" s="46" t="s">
        <v>826</v>
      </c>
      <c r="H416" s="52" t="s">
        <v>1187</v>
      </c>
    </row>
    <row r="417" spans="6:8" x14ac:dyDescent="0.25">
      <c r="H417" s="38" t="s">
        <v>32</v>
      </c>
    </row>
    <row r="418" spans="6:8" x14ac:dyDescent="0.25">
      <c r="F418" s="35" t="s">
        <v>1614</v>
      </c>
      <c r="G418" s="46" t="s">
        <v>32</v>
      </c>
      <c r="H418" s="47" t="s">
        <v>1188</v>
      </c>
    </row>
    <row r="419" spans="6:8" x14ac:dyDescent="0.25">
      <c r="F419" s="35" t="s">
        <v>1614</v>
      </c>
      <c r="G419" s="46" t="s">
        <v>32</v>
      </c>
      <c r="H419" s="47" t="s">
        <v>1189</v>
      </c>
    </row>
    <row r="420" spans="6:8" x14ac:dyDescent="0.25">
      <c r="F420" s="35" t="s">
        <v>1614</v>
      </c>
      <c r="G420" s="46" t="s">
        <v>32</v>
      </c>
      <c r="H420" s="47" t="s">
        <v>1190</v>
      </c>
    </row>
    <row r="421" spans="6:8" x14ac:dyDescent="0.25">
      <c r="F421" s="35" t="s">
        <v>1614</v>
      </c>
      <c r="G421" s="46" t="s">
        <v>32</v>
      </c>
      <c r="H421" s="47" t="s">
        <v>1191</v>
      </c>
    </row>
    <row r="422" spans="6:8" x14ac:dyDescent="0.25">
      <c r="F422" s="35" t="s">
        <v>1614</v>
      </c>
      <c r="G422" s="46" t="s">
        <v>32</v>
      </c>
      <c r="H422" s="47" t="s">
        <v>1192</v>
      </c>
    </row>
    <row r="423" spans="6:8" x14ac:dyDescent="0.25">
      <c r="F423" s="35" t="s">
        <v>1614</v>
      </c>
      <c r="G423" s="46" t="s">
        <v>32</v>
      </c>
      <c r="H423" s="47" t="s">
        <v>1193</v>
      </c>
    </row>
    <row r="424" spans="6:8" x14ac:dyDescent="0.25">
      <c r="F424" s="35" t="s">
        <v>1614</v>
      </c>
      <c r="G424" s="46" t="s">
        <v>32</v>
      </c>
      <c r="H424" s="47" t="s">
        <v>1194</v>
      </c>
    </row>
    <row r="425" spans="6:8" x14ac:dyDescent="0.25">
      <c r="F425" s="35" t="s">
        <v>1614</v>
      </c>
      <c r="G425" s="46" t="s">
        <v>32</v>
      </c>
      <c r="H425" s="47" t="s">
        <v>1195</v>
      </c>
    </row>
    <row r="426" spans="6:8" x14ac:dyDescent="0.25">
      <c r="F426" s="35" t="s">
        <v>1614</v>
      </c>
      <c r="G426" s="46" t="s">
        <v>32</v>
      </c>
      <c r="H426" s="47" t="s">
        <v>1196</v>
      </c>
    </row>
    <row r="427" spans="6:8" x14ac:dyDescent="0.25">
      <c r="F427" s="35" t="s">
        <v>1614</v>
      </c>
      <c r="G427" s="46" t="s">
        <v>32</v>
      </c>
      <c r="H427" s="47" t="s">
        <v>1197</v>
      </c>
    </row>
    <row r="428" spans="6:8" x14ac:dyDescent="0.25">
      <c r="F428" s="35" t="s">
        <v>1614</v>
      </c>
      <c r="G428" s="46" t="s">
        <v>32</v>
      </c>
      <c r="H428" s="47" t="s">
        <v>1198</v>
      </c>
    </row>
    <row r="429" spans="6:8" x14ac:dyDescent="0.25">
      <c r="H429" s="38" t="s">
        <v>910</v>
      </c>
    </row>
    <row r="430" spans="6:8" x14ac:dyDescent="0.25">
      <c r="F430" s="35" t="s">
        <v>1614</v>
      </c>
      <c r="G430" s="46" t="s">
        <v>910</v>
      </c>
      <c r="H430" s="47" t="s">
        <v>1199</v>
      </c>
    </row>
    <row r="431" spans="6:8" x14ac:dyDescent="0.25">
      <c r="F431" s="35" t="s">
        <v>1614</v>
      </c>
      <c r="G431" s="46" t="s">
        <v>910</v>
      </c>
      <c r="H431" s="47" t="s">
        <v>1200</v>
      </c>
    </row>
    <row r="432" spans="6:8" x14ac:dyDescent="0.25">
      <c r="F432" s="35" t="s">
        <v>1614</v>
      </c>
      <c r="G432" s="46" t="s">
        <v>910</v>
      </c>
      <c r="H432" s="47" t="s">
        <v>1201</v>
      </c>
    </row>
    <row r="433" spans="6:8" x14ac:dyDescent="0.25">
      <c r="H433" s="38" t="s">
        <v>33</v>
      </c>
    </row>
    <row r="434" spans="6:8" x14ac:dyDescent="0.25">
      <c r="F434" s="35" t="s">
        <v>1614</v>
      </c>
      <c r="G434" s="46" t="s">
        <v>33</v>
      </c>
      <c r="H434" s="47" t="s">
        <v>1202</v>
      </c>
    </row>
    <row r="435" spans="6:8" x14ac:dyDescent="0.25">
      <c r="F435" s="35" t="s">
        <v>1614</v>
      </c>
      <c r="G435" s="46" t="s">
        <v>33</v>
      </c>
      <c r="H435" s="47" t="s">
        <v>1203</v>
      </c>
    </row>
    <row r="436" spans="6:8" x14ac:dyDescent="0.25">
      <c r="F436" s="35" t="s">
        <v>1614</v>
      </c>
      <c r="G436" s="46" t="s">
        <v>33</v>
      </c>
      <c r="H436" s="47" t="s">
        <v>1204</v>
      </c>
    </row>
    <row r="437" spans="6:8" x14ac:dyDescent="0.25">
      <c r="F437" s="35" t="s">
        <v>1614</v>
      </c>
      <c r="G437" s="46" t="s">
        <v>33</v>
      </c>
      <c r="H437" s="47" t="s">
        <v>1205</v>
      </c>
    </row>
    <row r="438" spans="6:8" x14ac:dyDescent="0.25">
      <c r="F438" s="35" t="s">
        <v>1614</v>
      </c>
      <c r="G438" s="46" t="s">
        <v>33</v>
      </c>
      <c r="H438" s="47" t="s">
        <v>1206</v>
      </c>
    </row>
    <row r="439" spans="6:8" x14ac:dyDescent="0.25">
      <c r="F439" s="35" t="s">
        <v>1614</v>
      </c>
      <c r="G439" s="46" t="s">
        <v>33</v>
      </c>
      <c r="H439" s="47" t="s">
        <v>1207</v>
      </c>
    </row>
    <row r="440" spans="6:8" x14ac:dyDescent="0.25">
      <c r="F440" s="35" t="s">
        <v>1614</v>
      </c>
      <c r="G440" s="46" t="s">
        <v>33</v>
      </c>
      <c r="H440" s="47" t="s">
        <v>1208</v>
      </c>
    </row>
    <row r="441" spans="6:8" x14ac:dyDescent="0.25">
      <c r="F441" s="35" t="s">
        <v>1614</v>
      </c>
      <c r="G441" s="46" t="s">
        <v>33</v>
      </c>
      <c r="H441" s="20" t="s">
        <v>1209</v>
      </c>
    </row>
    <row r="442" spans="6:8" x14ac:dyDescent="0.25">
      <c r="H442" s="38" t="s">
        <v>778</v>
      </c>
    </row>
    <row r="443" spans="6:8" x14ac:dyDescent="0.25">
      <c r="F443" s="35" t="s">
        <v>1614</v>
      </c>
      <c r="G443" s="46" t="s">
        <v>778</v>
      </c>
      <c r="H443" s="47" t="s">
        <v>3425</v>
      </c>
    </row>
    <row r="444" spans="6:8" x14ac:dyDescent="0.25">
      <c r="F444" s="35" t="s">
        <v>1614</v>
      </c>
      <c r="G444" s="46" t="s">
        <v>778</v>
      </c>
      <c r="H444" s="47" t="s">
        <v>1210</v>
      </c>
    </row>
    <row r="445" spans="6:8" x14ac:dyDescent="0.25">
      <c r="F445" s="35" t="s">
        <v>1614</v>
      </c>
      <c r="G445" s="46" t="s">
        <v>778</v>
      </c>
      <c r="H445" s="47" t="s">
        <v>1211</v>
      </c>
    </row>
    <row r="446" spans="6:8" x14ac:dyDescent="0.25">
      <c r="F446" s="35" t="s">
        <v>1614</v>
      </c>
      <c r="G446" s="46" t="s">
        <v>778</v>
      </c>
      <c r="H446" s="47" t="s">
        <v>1212</v>
      </c>
    </row>
    <row r="447" spans="6:8" x14ac:dyDescent="0.25">
      <c r="F447" s="35" t="s">
        <v>1614</v>
      </c>
      <c r="G447" s="46" t="s">
        <v>778</v>
      </c>
      <c r="H447" s="47" t="s">
        <v>1213</v>
      </c>
    </row>
    <row r="448" spans="6:8" x14ac:dyDescent="0.25">
      <c r="F448" s="35" t="s">
        <v>1614</v>
      </c>
      <c r="G448" s="46" t="s">
        <v>778</v>
      </c>
      <c r="H448" s="47" t="s">
        <v>1214</v>
      </c>
    </row>
    <row r="449" spans="6:8" x14ac:dyDescent="0.25">
      <c r="F449" s="35" t="s">
        <v>1614</v>
      </c>
      <c r="G449" s="46" t="s">
        <v>778</v>
      </c>
      <c r="H449" s="47" t="s">
        <v>1215</v>
      </c>
    </row>
    <row r="450" spans="6:8" x14ac:dyDescent="0.25">
      <c r="F450" s="35" t="s">
        <v>1614</v>
      </c>
      <c r="G450" s="46" t="s">
        <v>778</v>
      </c>
      <c r="H450" s="47" t="s">
        <v>1216</v>
      </c>
    </row>
    <row r="451" spans="6:8" x14ac:dyDescent="0.25">
      <c r="F451" s="35" t="s">
        <v>1614</v>
      </c>
      <c r="G451" s="46" t="s">
        <v>778</v>
      </c>
      <c r="H451" s="47" t="s">
        <v>1217</v>
      </c>
    </row>
    <row r="452" spans="6:8" x14ac:dyDescent="0.25">
      <c r="F452" s="35" t="s">
        <v>1614</v>
      </c>
      <c r="G452" s="46" t="s">
        <v>778</v>
      </c>
      <c r="H452" s="47" t="s">
        <v>1218</v>
      </c>
    </row>
    <row r="453" spans="6:8" x14ac:dyDescent="0.25">
      <c r="F453" s="35" t="s">
        <v>1614</v>
      </c>
      <c r="G453" s="46" t="s">
        <v>778</v>
      </c>
      <c r="H453" s="47" t="s">
        <v>1219</v>
      </c>
    </row>
    <row r="454" spans="6:8" x14ac:dyDescent="0.25">
      <c r="F454" s="35" t="s">
        <v>1614</v>
      </c>
      <c r="G454" s="46" t="s">
        <v>778</v>
      </c>
      <c r="H454" s="47" t="s">
        <v>1220</v>
      </c>
    </row>
    <row r="455" spans="6:8" x14ac:dyDescent="0.25">
      <c r="F455" s="35" t="s">
        <v>1614</v>
      </c>
      <c r="G455" s="46" t="s">
        <v>778</v>
      </c>
      <c r="H455" s="47" t="s">
        <v>1221</v>
      </c>
    </row>
    <row r="456" spans="6:8" x14ac:dyDescent="0.25">
      <c r="F456" s="35" t="s">
        <v>1614</v>
      </c>
      <c r="G456" s="46" t="s">
        <v>778</v>
      </c>
      <c r="H456" s="47" t="s">
        <v>1222</v>
      </c>
    </row>
    <row r="457" spans="6:8" x14ac:dyDescent="0.25">
      <c r="H457" s="38" t="s">
        <v>34</v>
      </c>
    </row>
    <row r="458" spans="6:8" x14ac:dyDescent="0.25">
      <c r="F458" s="35" t="s">
        <v>1614</v>
      </c>
      <c r="G458" s="46" t="s">
        <v>34</v>
      </c>
      <c r="H458" s="47" t="s">
        <v>1223</v>
      </c>
    </row>
    <row r="459" spans="6:8" x14ac:dyDescent="0.25">
      <c r="F459" s="35" t="s">
        <v>1614</v>
      </c>
      <c r="G459" s="46" t="s">
        <v>34</v>
      </c>
      <c r="H459" s="47" t="s">
        <v>1224</v>
      </c>
    </row>
    <row r="460" spans="6:8" x14ac:dyDescent="0.25">
      <c r="F460" s="35" t="s">
        <v>1614</v>
      </c>
      <c r="G460" s="46" t="s">
        <v>34</v>
      </c>
      <c r="H460" s="47" t="s">
        <v>1225</v>
      </c>
    </row>
    <row r="461" spans="6:8" x14ac:dyDescent="0.25">
      <c r="F461" s="35" t="s">
        <v>1614</v>
      </c>
      <c r="G461" s="46" t="s">
        <v>34</v>
      </c>
      <c r="H461" s="47" t="s">
        <v>1226</v>
      </c>
    </row>
    <row r="462" spans="6:8" x14ac:dyDescent="0.25">
      <c r="F462" s="35" t="s">
        <v>1614</v>
      </c>
      <c r="G462" s="46" t="s">
        <v>34</v>
      </c>
      <c r="H462" s="47" t="s">
        <v>1227</v>
      </c>
    </row>
    <row r="463" spans="6:8" x14ac:dyDescent="0.25">
      <c r="F463" s="35" t="s">
        <v>1614</v>
      </c>
      <c r="G463" s="46" t="s">
        <v>34</v>
      </c>
      <c r="H463" s="47" t="s">
        <v>1228</v>
      </c>
    </row>
    <row r="464" spans="6:8" x14ac:dyDescent="0.25">
      <c r="F464" s="35" t="s">
        <v>1614</v>
      </c>
      <c r="G464" s="46" t="s">
        <v>34</v>
      </c>
      <c r="H464" s="47" t="s">
        <v>1229</v>
      </c>
    </row>
    <row r="465" spans="6:9" x14ac:dyDescent="0.25">
      <c r="H465" s="38" t="s">
        <v>35</v>
      </c>
    </row>
    <row r="466" spans="6:9" x14ac:dyDescent="0.25">
      <c r="F466" s="35" t="s">
        <v>1614</v>
      </c>
      <c r="G466" s="46" t="s">
        <v>35</v>
      </c>
      <c r="H466" s="47" t="s">
        <v>1230</v>
      </c>
    </row>
    <row r="467" spans="6:9" x14ac:dyDescent="0.25">
      <c r="F467" s="35" t="s">
        <v>1614</v>
      </c>
      <c r="G467" s="46" t="s">
        <v>35</v>
      </c>
      <c r="H467" s="47" t="s">
        <v>1231</v>
      </c>
    </row>
    <row r="468" spans="6:9" x14ac:dyDescent="0.25">
      <c r="F468" s="35" t="s">
        <v>1614</v>
      </c>
      <c r="G468" s="46" t="s">
        <v>35</v>
      </c>
      <c r="H468" s="47" t="s">
        <v>1232</v>
      </c>
    </row>
    <row r="469" spans="6:9" x14ac:dyDescent="0.25">
      <c r="F469" s="35" t="s">
        <v>1614</v>
      </c>
      <c r="G469" s="46" t="s">
        <v>35</v>
      </c>
      <c r="H469" s="47" t="s">
        <v>1233</v>
      </c>
    </row>
    <row r="470" spans="6:9" x14ac:dyDescent="0.25">
      <c r="F470" s="35" t="s">
        <v>1614</v>
      </c>
      <c r="G470" s="46" t="s">
        <v>35</v>
      </c>
      <c r="H470" s="47" t="s">
        <v>1234</v>
      </c>
    </row>
    <row r="471" spans="6:9" x14ac:dyDescent="0.25">
      <c r="F471" s="35" t="s">
        <v>1614</v>
      </c>
      <c r="G471" s="46" t="s">
        <v>35</v>
      </c>
      <c r="H471" s="47" t="s">
        <v>1235</v>
      </c>
    </row>
    <row r="472" spans="6:9" x14ac:dyDescent="0.25">
      <c r="F472" s="35" t="s">
        <v>1614</v>
      </c>
      <c r="G472" s="46" t="s">
        <v>35</v>
      </c>
      <c r="H472" s="47" t="s">
        <v>1236</v>
      </c>
    </row>
    <row r="473" spans="6:9" x14ac:dyDescent="0.25">
      <c r="F473" s="35" t="s">
        <v>1614</v>
      </c>
      <c r="G473" s="46" t="s">
        <v>35</v>
      </c>
      <c r="H473" s="47" t="s">
        <v>1237</v>
      </c>
    </row>
    <row r="474" spans="6:9" x14ac:dyDescent="0.25">
      <c r="F474" s="35" t="s">
        <v>1614</v>
      </c>
      <c r="G474" s="46" t="s">
        <v>35</v>
      </c>
      <c r="H474" s="47" t="s">
        <v>1238</v>
      </c>
    </row>
    <row r="476" spans="6:9" x14ac:dyDescent="0.25">
      <c r="F476" s="106"/>
      <c r="G476" s="106"/>
      <c r="H476" s="106"/>
      <c r="I476" s="106"/>
    </row>
    <row r="477" spans="6:9" x14ac:dyDescent="0.25">
      <c r="F477" s="106"/>
      <c r="G477" s="106"/>
      <c r="H477" s="106"/>
      <c r="I477" s="106"/>
    </row>
    <row r="478" spans="6:9" x14ac:dyDescent="0.25">
      <c r="F478" s="106"/>
      <c r="G478" s="106"/>
      <c r="H478" s="106"/>
      <c r="I478" s="106"/>
    </row>
    <row r="479" spans="6:9" x14ac:dyDescent="0.25">
      <c r="F479" s="106"/>
      <c r="G479" s="106"/>
      <c r="H479" s="106"/>
      <c r="I479" s="106"/>
    </row>
    <row r="480" spans="6:9" x14ac:dyDescent="0.25">
      <c r="F480" s="106"/>
      <c r="G480" s="106"/>
      <c r="H480" s="106"/>
      <c r="I480" s="106"/>
    </row>
    <row r="481" spans="6:9" x14ac:dyDescent="0.25">
      <c r="F481" s="106"/>
      <c r="G481" s="106"/>
      <c r="H481" s="106"/>
      <c r="I481" s="106"/>
    </row>
    <row r="482" spans="6:9" x14ac:dyDescent="0.25">
      <c r="F482" s="106"/>
      <c r="G482" s="106"/>
      <c r="H482" s="106"/>
      <c r="I482" s="106"/>
    </row>
    <row r="483" spans="6:9" x14ac:dyDescent="0.25">
      <c r="F483" s="106"/>
      <c r="G483" s="106"/>
      <c r="H483" s="106"/>
      <c r="I483" s="106"/>
    </row>
    <row r="484" spans="6:9" x14ac:dyDescent="0.25">
      <c r="F484" s="106"/>
      <c r="G484" s="106"/>
      <c r="H484" s="106"/>
      <c r="I484" s="106"/>
    </row>
    <row r="485" spans="6:9" x14ac:dyDescent="0.25">
      <c r="F485" s="106"/>
      <c r="G485" s="106"/>
      <c r="H485" s="106"/>
      <c r="I485" s="106"/>
    </row>
    <row r="486" spans="6:9" x14ac:dyDescent="0.25">
      <c r="F486" s="106"/>
      <c r="G486" s="106"/>
      <c r="H486" s="106"/>
      <c r="I486" s="106"/>
    </row>
    <row r="487" spans="6:9" x14ac:dyDescent="0.25">
      <c r="F487" s="106"/>
      <c r="G487" s="106"/>
      <c r="H487" s="106"/>
      <c r="I487" s="106"/>
    </row>
    <row r="488" spans="6:9" x14ac:dyDescent="0.25">
      <c r="F488" s="106"/>
      <c r="G488" s="106"/>
      <c r="H488" s="106"/>
      <c r="I488" s="106"/>
    </row>
    <row r="489" spans="6:9" x14ac:dyDescent="0.25">
      <c r="F489" s="106"/>
      <c r="G489" s="106"/>
      <c r="H489" s="106"/>
      <c r="I489" s="106"/>
    </row>
    <row r="490" spans="6:9" x14ac:dyDescent="0.25">
      <c r="F490" s="106"/>
      <c r="G490" s="106"/>
      <c r="H490" s="106"/>
      <c r="I490" s="106"/>
    </row>
    <row r="491" spans="6:9" x14ac:dyDescent="0.25">
      <c r="F491" s="106"/>
      <c r="G491" s="106"/>
      <c r="H491" s="106"/>
      <c r="I491" s="106"/>
    </row>
    <row r="492" spans="6:9" x14ac:dyDescent="0.25">
      <c r="F492" s="106"/>
      <c r="G492" s="106"/>
      <c r="H492" s="106"/>
      <c r="I492" s="106"/>
    </row>
    <row r="493" spans="6:9" x14ac:dyDescent="0.25">
      <c r="F493" s="106"/>
      <c r="G493" s="106"/>
      <c r="H493" s="106"/>
      <c r="I493" s="106"/>
    </row>
    <row r="494" spans="6:9" x14ac:dyDescent="0.25">
      <c r="F494" s="106"/>
      <c r="G494" s="106"/>
      <c r="H494" s="106"/>
      <c r="I494" s="106"/>
    </row>
    <row r="495" spans="6:9" x14ac:dyDescent="0.25">
      <c r="F495" s="106"/>
      <c r="G495" s="106"/>
      <c r="H495" s="106"/>
      <c r="I495" s="106"/>
    </row>
    <row r="496" spans="6:9" x14ac:dyDescent="0.25">
      <c r="F496" s="106"/>
      <c r="G496" s="106"/>
      <c r="H496" s="106"/>
      <c r="I496" s="106"/>
    </row>
    <row r="497" spans="6:9" x14ac:dyDescent="0.25">
      <c r="F497" s="106"/>
      <c r="G497" s="106"/>
      <c r="H497" s="106"/>
      <c r="I497" s="106"/>
    </row>
    <row r="498" spans="6:9" x14ac:dyDescent="0.25">
      <c r="F498" s="106"/>
      <c r="G498" s="106"/>
      <c r="H498" s="106"/>
      <c r="I498" s="106"/>
    </row>
    <row r="499" spans="6:9" x14ac:dyDescent="0.25">
      <c r="F499" s="106"/>
      <c r="G499" s="106"/>
      <c r="H499" s="106"/>
      <c r="I499" s="106"/>
    </row>
    <row r="500" spans="6:9" x14ac:dyDescent="0.25">
      <c r="F500" s="106"/>
      <c r="G500" s="106"/>
      <c r="H500" s="106"/>
      <c r="I500" s="106"/>
    </row>
  </sheetData>
  <autoFilter ref="F1:G1"/>
  <pageMargins left="0.7" right="0.7" top="0.75" bottom="0.75" header="0.3" footer="0.3"/>
  <pageSetup paperSize="9" orientation="portrait" r:id="rId1"/>
  <tableParts count="7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  <tablePart r:id="rId28"/>
    <tablePart r:id="rId29"/>
    <tablePart r:id="rId30"/>
    <tablePart r:id="rId31"/>
    <tablePart r:id="rId32"/>
    <tablePart r:id="rId33"/>
    <tablePart r:id="rId34"/>
    <tablePart r:id="rId35"/>
    <tablePart r:id="rId36"/>
    <tablePart r:id="rId37"/>
    <tablePart r:id="rId38"/>
    <tablePart r:id="rId39"/>
    <tablePart r:id="rId40"/>
    <tablePart r:id="rId41"/>
    <tablePart r:id="rId42"/>
    <tablePart r:id="rId43"/>
    <tablePart r:id="rId44"/>
    <tablePart r:id="rId45"/>
    <tablePart r:id="rId46"/>
    <tablePart r:id="rId47"/>
    <tablePart r:id="rId48"/>
    <tablePart r:id="rId49"/>
    <tablePart r:id="rId50"/>
    <tablePart r:id="rId51"/>
    <tablePart r:id="rId52"/>
    <tablePart r:id="rId53"/>
    <tablePart r:id="rId54"/>
    <tablePart r:id="rId55"/>
    <tablePart r:id="rId56"/>
    <tablePart r:id="rId57"/>
    <tablePart r:id="rId58"/>
    <tablePart r:id="rId59"/>
    <tablePart r:id="rId60"/>
    <tablePart r:id="rId61"/>
    <tablePart r:id="rId62"/>
    <tablePart r:id="rId63"/>
    <tablePart r:id="rId64"/>
    <tablePart r:id="rId65"/>
    <tablePart r:id="rId66"/>
    <tablePart r:id="rId67"/>
    <tablePart r:id="rId68"/>
    <tablePart r:id="rId69"/>
    <tablePart r:id="rId70"/>
    <tablePart r:id="rId71"/>
    <tablePart r:id="rId72"/>
    <tablePart r:id="rId7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4"/>
  <sheetViews>
    <sheetView zoomScaleNormal="100" workbookViewId="0">
      <pane ySplit="6" topLeftCell="A70" activePane="bottomLeft" state="frozen"/>
      <selection pane="bottomLeft" activeCell="L90" sqref="L90"/>
    </sheetView>
  </sheetViews>
  <sheetFormatPr defaultColWidth="9.140625" defaultRowHeight="15" x14ac:dyDescent="0.25"/>
  <cols>
    <col min="1" max="1" width="6.5703125" style="174" customWidth="1"/>
    <col min="2" max="2" width="47.85546875" style="174" customWidth="1"/>
    <col min="3" max="3" width="26.7109375" style="174" bestFit="1" customWidth="1"/>
    <col min="4" max="4" width="10.7109375" style="174" customWidth="1"/>
    <col min="5" max="7" width="9.140625" style="174" hidden="1" customWidth="1"/>
    <col min="8" max="8" width="8.85546875" style="174" customWidth="1"/>
    <col min="9" max="10" width="8.42578125" style="174" customWidth="1"/>
    <col min="11" max="11" width="13.42578125" style="174" customWidth="1"/>
    <col min="12" max="12" width="47.85546875" style="174" bestFit="1" customWidth="1"/>
    <col min="13" max="13" width="12.7109375" style="174" customWidth="1"/>
    <col min="14" max="14" width="11.85546875" style="174" customWidth="1"/>
    <col min="15" max="15" width="11.5703125" style="174" customWidth="1"/>
    <col min="16" max="16" width="11.85546875" style="174" customWidth="1"/>
    <col min="17" max="17" width="13.140625" style="174" customWidth="1"/>
    <col min="18" max="18" width="15" style="174" customWidth="1"/>
    <col min="19" max="16384" width="9.140625" style="174"/>
  </cols>
  <sheetData>
    <row r="1" spans="1:18" x14ac:dyDescent="0.25">
      <c r="A1" s="183" t="s">
        <v>1990</v>
      </c>
      <c r="B1" s="183"/>
    </row>
    <row r="2" spans="1:18" ht="18" customHeight="1" x14ac:dyDescent="0.25">
      <c r="K2" s="176" t="s">
        <v>1994</v>
      </c>
    </row>
    <row r="3" spans="1:18" ht="12.75" customHeight="1" x14ac:dyDescent="0.25">
      <c r="G3" s="175"/>
      <c r="H3" s="175"/>
      <c r="I3" s="175"/>
      <c r="J3" s="175"/>
      <c r="K3" s="175"/>
    </row>
    <row r="4" spans="1:18" x14ac:dyDescent="0.25">
      <c r="A4" s="177" t="s">
        <v>764</v>
      </c>
      <c r="B4" s="177"/>
      <c r="C4" s="178" t="s">
        <v>1270</v>
      </c>
      <c r="D4" s="178" t="s">
        <v>1271</v>
      </c>
      <c r="E4" s="178" t="s">
        <v>1272</v>
      </c>
      <c r="F4" s="178" t="s">
        <v>1273</v>
      </c>
      <c r="G4" s="178" t="s">
        <v>1274</v>
      </c>
      <c r="H4" s="178" t="s">
        <v>1272</v>
      </c>
      <c r="I4" s="178" t="s">
        <v>1273</v>
      </c>
      <c r="J4" s="178" t="s">
        <v>1274</v>
      </c>
      <c r="K4" s="178"/>
      <c r="L4" s="178" t="s">
        <v>1269</v>
      </c>
      <c r="M4" s="178" t="s">
        <v>1275</v>
      </c>
      <c r="N4" s="178" t="s">
        <v>375</v>
      </c>
      <c r="O4" s="178" t="s">
        <v>1276</v>
      </c>
    </row>
    <row r="5" spans="1:18" ht="89.25" x14ac:dyDescent="0.25">
      <c r="A5" s="178">
        <v>1</v>
      </c>
      <c r="B5" s="179" t="s">
        <v>1987</v>
      </c>
      <c r="C5" s="179" t="s">
        <v>1985</v>
      </c>
      <c r="D5" s="179" t="s">
        <v>1992</v>
      </c>
      <c r="E5" s="179" t="s">
        <v>1279</v>
      </c>
      <c r="F5" s="179" t="s">
        <v>1988</v>
      </c>
      <c r="G5" s="179" t="s">
        <v>1989</v>
      </c>
      <c r="H5" s="179" t="s">
        <v>1279</v>
      </c>
      <c r="I5" s="179" t="s">
        <v>1988</v>
      </c>
      <c r="J5" s="179" t="s">
        <v>1989</v>
      </c>
      <c r="K5" s="179" t="s">
        <v>1277</v>
      </c>
      <c r="L5" s="179" t="s">
        <v>1987</v>
      </c>
      <c r="M5" s="179" t="s">
        <v>1969</v>
      </c>
      <c r="N5" s="179" t="s">
        <v>1991</v>
      </c>
      <c r="O5" s="179" t="s">
        <v>1993</v>
      </c>
      <c r="P5" s="179" t="s">
        <v>1970</v>
      </c>
      <c r="Q5" s="179" t="s">
        <v>2020</v>
      </c>
      <c r="R5" s="179" t="s">
        <v>2021</v>
      </c>
    </row>
    <row r="6" spans="1:18" x14ac:dyDescent="0.25">
      <c r="A6" s="178">
        <v>2</v>
      </c>
      <c r="B6" s="178"/>
      <c r="C6" s="177" t="s">
        <v>764</v>
      </c>
      <c r="D6" s="178"/>
      <c r="E6" s="177"/>
      <c r="F6" s="178" t="s">
        <v>764</v>
      </c>
      <c r="G6" s="178"/>
      <c r="H6" s="178"/>
      <c r="I6" s="178"/>
      <c r="J6" s="178"/>
      <c r="K6" s="178"/>
      <c r="L6" s="177"/>
      <c r="M6" s="178" t="s">
        <v>764</v>
      </c>
      <c r="N6" s="178"/>
      <c r="O6" s="178"/>
      <c r="P6" s="191"/>
      <c r="Q6" s="191"/>
      <c r="R6" s="191"/>
    </row>
    <row r="7" spans="1:18" x14ac:dyDescent="0.25">
      <c r="A7" s="178">
        <v>168</v>
      </c>
      <c r="B7" s="287" t="str">
        <f t="shared" ref="B7:B38" si="0">L7</f>
        <v>Abroncsgyártó</v>
      </c>
      <c r="C7" s="178" t="s">
        <v>1280</v>
      </c>
      <c r="D7" s="178">
        <v>4</v>
      </c>
      <c r="E7" s="178">
        <v>722</v>
      </c>
      <c r="F7" s="178">
        <v>24</v>
      </c>
      <c r="G7" s="178">
        <v>1</v>
      </c>
      <c r="H7" s="178" t="str">
        <f t="shared" ref="H7:H38" si="1">IF(E7&lt;1000,"0"&amp;E7,E7)</f>
        <v>0722</v>
      </c>
      <c r="I7" s="178">
        <f t="shared" ref="I7:I38" si="2">IF(F7&lt;10,"0"&amp;F7,F7)</f>
        <v>24</v>
      </c>
      <c r="J7" s="178" t="str">
        <f t="shared" ref="J7:J38" si="3">IF(G7&lt;10,"0"&amp;G7,G7)</f>
        <v>01</v>
      </c>
      <c r="K7" s="178" t="str">
        <f t="shared" ref="K7:K38" si="4">D7&amp;" "&amp;H7&amp;" "&amp;I7&amp;" "&amp;J7</f>
        <v>4 0722 24 01</v>
      </c>
      <c r="L7" s="177" t="s">
        <v>41</v>
      </c>
      <c r="M7" s="178">
        <v>3</v>
      </c>
      <c r="N7" s="178">
        <v>2</v>
      </c>
      <c r="O7" s="178">
        <v>5</v>
      </c>
      <c r="P7" s="191">
        <f>IF(D7=4,VLOOKUP(C7,Szakmaszorzók!$B$2:$D$25,2,0),VLOOKUP(C7,Szakmaszorzók!$B$2:$D$25,3,0))</f>
        <v>2.42</v>
      </c>
      <c r="Q7" s="192">
        <f>'Támogatás szorzat tényezői'!$C$2*'Támogatás szorzat tényezői'!$C$3*N7*P7</f>
        <v>871200</v>
      </c>
      <c r="R7" s="192">
        <f>'Támogatás szorzat tényezői'!$C$2*'Támogatás szorzat tényezői'!$C$3*P7</f>
        <v>435600</v>
      </c>
    </row>
    <row r="8" spans="1:18" x14ac:dyDescent="0.25">
      <c r="A8" s="178">
        <v>48</v>
      </c>
      <c r="B8" s="287" t="str">
        <f t="shared" si="0"/>
        <v>Ács</v>
      </c>
      <c r="C8" s="178" t="s">
        <v>1282</v>
      </c>
      <c r="D8" s="178">
        <v>4</v>
      </c>
      <c r="E8" s="178">
        <v>732</v>
      </c>
      <c r="F8" s="178">
        <v>6</v>
      </c>
      <c r="G8" s="178">
        <v>1</v>
      </c>
      <c r="H8" s="178" t="str">
        <f t="shared" si="1"/>
        <v>0732</v>
      </c>
      <c r="I8" s="178" t="str">
        <f t="shared" si="2"/>
        <v>06</v>
      </c>
      <c r="J8" s="178" t="str">
        <f t="shared" si="3"/>
        <v>01</v>
      </c>
      <c r="K8" s="178" t="str">
        <f t="shared" si="4"/>
        <v>4 0732 06 01</v>
      </c>
      <c r="L8" s="177" t="s">
        <v>42</v>
      </c>
      <c r="M8" s="178">
        <v>3</v>
      </c>
      <c r="N8" s="178">
        <v>2</v>
      </c>
      <c r="O8" s="178">
        <v>4</v>
      </c>
      <c r="P8" s="191">
        <f>IF(D8=4,VLOOKUP(C8,Szakmaszorzók!$B$2:$D$25,2,0),VLOOKUP(C8,Szakmaszorzók!$B$2:$D$25,3,0))</f>
        <v>2.42</v>
      </c>
      <c r="Q8" s="192">
        <f>'Támogatás szorzat tényezői'!$C$2*'Támogatás szorzat tényezői'!$C$3*N8*P8</f>
        <v>871200</v>
      </c>
      <c r="R8" s="192">
        <f>'Támogatás szorzat tényezői'!$C$2*'Támogatás szorzat tényezői'!$C$3*P8</f>
        <v>435600</v>
      </c>
    </row>
    <row r="9" spans="1:18" x14ac:dyDescent="0.25">
      <c r="A9" s="178">
        <v>13</v>
      </c>
      <c r="B9" s="287" t="str">
        <f t="shared" si="0"/>
        <v>Általános ápoló</v>
      </c>
      <c r="C9" s="178" t="s">
        <v>1285</v>
      </c>
      <c r="D9" s="178">
        <v>5</v>
      </c>
      <c r="E9" s="178">
        <v>913</v>
      </c>
      <c r="F9" s="178">
        <v>3</v>
      </c>
      <c r="G9" s="178">
        <v>1</v>
      </c>
      <c r="H9" s="178" t="str">
        <f t="shared" si="1"/>
        <v>0913</v>
      </c>
      <c r="I9" s="178" t="str">
        <f t="shared" si="2"/>
        <v>03</v>
      </c>
      <c r="J9" s="178" t="str">
        <f t="shared" si="3"/>
        <v>01</v>
      </c>
      <c r="K9" s="178" t="str">
        <f t="shared" si="4"/>
        <v>5 0913 03 01</v>
      </c>
      <c r="L9" s="177" t="s">
        <v>1284</v>
      </c>
      <c r="M9" s="178">
        <v>6</v>
      </c>
      <c r="N9" s="178">
        <v>3</v>
      </c>
      <c r="O9" s="178">
        <v>5</v>
      </c>
      <c r="P9" s="191">
        <f>IF(D9=4,VLOOKUP(C9,Szakmaszorzók!$B$2:$D$25,2,0),VLOOKUP(C9,Szakmaszorzók!$B$2:$D$25,3,0))</f>
        <v>2.2000000000000002</v>
      </c>
      <c r="Q9" s="192">
        <f>'Támogatás szorzat tényezői'!$C$2*'Támogatás szorzat tényezői'!$C$3*N9*P9</f>
        <v>1188000</v>
      </c>
      <c r="R9" s="192">
        <f>'Támogatás szorzat tényezői'!$C$2*'Támogatás szorzat tényezői'!$C$3*P9</f>
        <v>396000.00000000006</v>
      </c>
    </row>
    <row r="10" spans="1:18" x14ac:dyDescent="0.25">
      <c r="A10" s="178">
        <v>136</v>
      </c>
      <c r="B10" s="287" t="str">
        <f t="shared" si="0"/>
        <v>Alternatív járműhajtási technikus</v>
      </c>
      <c r="C10" s="178" t="s">
        <v>1287</v>
      </c>
      <c r="D10" s="178">
        <v>5</v>
      </c>
      <c r="E10" s="178">
        <v>716</v>
      </c>
      <c r="F10" s="178">
        <v>19</v>
      </c>
      <c r="G10" s="178">
        <v>1</v>
      </c>
      <c r="H10" s="178" t="str">
        <f t="shared" si="1"/>
        <v>0716</v>
      </c>
      <c r="I10" s="178">
        <f t="shared" si="2"/>
        <v>19</v>
      </c>
      <c r="J10" s="178" t="str">
        <f t="shared" si="3"/>
        <v>01</v>
      </c>
      <c r="K10" s="178" t="str">
        <f t="shared" si="4"/>
        <v>5 0716 19 01</v>
      </c>
      <c r="L10" s="177" t="s">
        <v>1286</v>
      </c>
      <c r="M10" s="178">
        <v>6</v>
      </c>
      <c r="N10" s="178">
        <v>3</v>
      </c>
      <c r="O10" s="178">
        <v>7</v>
      </c>
      <c r="P10" s="191">
        <f>IF(D10=4,VLOOKUP(C10,Szakmaszorzók!$B$2:$D$25,2,0),VLOOKUP(C10,Szakmaszorzók!$B$2:$D$25,3,0))</f>
        <v>2.85</v>
      </c>
      <c r="Q10" s="192">
        <f>'Támogatás szorzat tényezői'!$C$2*'Támogatás szorzat tényezői'!$C$3*N10*P10</f>
        <v>1539000</v>
      </c>
      <c r="R10" s="192">
        <f>'Támogatás szorzat tényezői'!$C$2*'Támogatás szorzat tényezői'!$C$3*P10</f>
        <v>513000</v>
      </c>
    </row>
    <row r="11" spans="1:18" x14ac:dyDescent="0.25">
      <c r="A11" s="178">
        <v>68</v>
      </c>
      <c r="B11" s="287" t="str">
        <f t="shared" si="0"/>
        <v>Asztalos</v>
      </c>
      <c r="C11" s="178" t="s">
        <v>1289</v>
      </c>
      <c r="D11" s="178">
        <v>4</v>
      </c>
      <c r="E11" s="178">
        <v>722</v>
      </c>
      <c r="F11" s="178">
        <v>8</v>
      </c>
      <c r="G11" s="178">
        <v>1</v>
      </c>
      <c r="H11" s="178" t="str">
        <f t="shared" si="1"/>
        <v>0722</v>
      </c>
      <c r="I11" s="178" t="str">
        <f t="shared" si="2"/>
        <v>08</v>
      </c>
      <c r="J11" s="178" t="str">
        <f t="shared" si="3"/>
        <v>01</v>
      </c>
      <c r="K11" s="178" t="str">
        <f t="shared" si="4"/>
        <v>4 0722 08 01</v>
      </c>
      <c r="L11" s="177" t="s">
        <v>52</v>
      </c>
      <c r="M11" s="178">
        <v>3</v>
      </c>
      <c r="N11" s="178">
        <v>2</v>
      </c>
      <c r="O11" s="178">
        <v>4</v>
      </c>
      <c r="P11" s="191">
        <f>IF(D11=4,VLOOKUP(C11,Szakmaszorzók!$B$2:$D$25,2,0),VLOOKUP(C11,Szakmaszorzók!$B$2:$D$25,3,0))</f>
        <v>2.42</v>
      </c>
      <c r="Q11" s="192">
        <f>'Támogatás szorzat tényezői'!$C$2*'Támogatás szorzat tényezői'!$C$3*N11*P11</f>
        <v>871200</v>
      </c>
      <c r="R11" s="192">
        <f>'Támogatás szorzat tényezői'!$C$2*'Támogatás szorzat tényezői'!$C$3*P11</f>
        <v>435600</v>
      </c>
    </row>
    <row r="12" spans="1:18" x14ac:dyDescent="0.25">
      <c r="A12" s="178">
        <v>137</v>
      </c>
      <c r="B12" s="287" t="str">
        <f t="shared" si="0"/>
        <v>Autógyártó</v>
      </c>
      <c r="C12" s="178" t="s">
        <v>1287</v>
      </c>
      <c r="D12" s="178">
        <v>4</v>
      </c>
      <c r="E12" s="178">
        <v>716</v>
      </c>
      <c r="F12" s="178">
        <v>19</v>
      </c>
      <c r="G12" s="178">
        <v>2</v>
      </c>
      <c r="H12" s="178" t="str">
        <f t="shared" si="1"/>
        <v>0716</v>
      </c>
      <c r="I12" s="178">
        <f t="shared" si="2"/>
        <v>19</v>
      </c>
      <c r="J12" s="178" t="str">
        <f t="shared" si="3"/>
        <v>02</v>
      </c>
      <c r="K12" s="178" t="str">
        <f t="shared" si="4"/>
        <v>4 0716 19 02</v>
      </c>
      <c r="L12" s="177" t="s">
        <v>56</v>
      </c>
      <c r="M12" s="178">
        <v>3</v>
      </c>
      <c r="N12" s="178">
        <v>2</v>
      </c>
      <c r="O12" s="178">
        <v>4</v>
      </c>
      <c r="P12" s="191">
        <f>IF(D12=4,VLOOKUP(C12,Szakmaszorzók!$B$2:$D$25,2,0),VLOOKUP(C12,Szakmaszorzók!$B$2:$D$25,3,0))</f>
        <v>2.85</v>
      </c>
      <c r="Q12" s="192">
        <f>'Támogatás szorzat tényezői'!$C$2*'Támogatás szorzat tényezői'!$C$3*N12*P12</f>
        <v>1026000</v>
      </c>
      <c r="R12" s="192">
        <f>'Támogatás szorzat tényezői'!$C$2*'Támogatás szorzat tényezői'!$C$3*P12</f>
        <v>513000</v>
      </c>
    </row>
    <row r="13" spans="1:18" x14ac:dyDescent="0.25">
      <c r="A13" s="178">
        <v>23</v>
      </c>
      <c r="B13" s="287" t="str">
        <f t="shared" si="0"/>
        <v>Automatikai technikus</v>
      </c>
      <c r="C13" s="178" t="s">
        <v>1290</v>
      </c>
      <c r="D13" s="178">
        <v>5</v>
      </c>
      <c r="E13" s="178">
        <v>714</v>
      </c>
      <c r="F13" s="178">
        <v>4</v>
      </c>
      <c r="G13" s="178">
        <v>1</v>
      </c>
      <c r="H13" s="178" t="str">
        <f t="shared" si="1"/>
        <v>0714</v>
      </c>
      <c r="I13" s="178" t="str">
        <f t="shared" si="2"/>
        <v>04</v>
      </c>
      <c r="J13" s="178" t="str">
        <f t="shared" si="3"/>
        <v>01</v>
      </c>
      <c r="K13" s="178" t="str">
        <f t="shared" si="4"/>
        <v>5 0714 04 01</v>
      </c>
      <c r="L13" s="177" t="s">
        <v>58</v>
      </c>
      <c r="M13" s="178">
        <v>5</v>
      </c>
      <c r="N13" s="178">
        <v>2</v>
      </c>
      <c r="O13" s="178">
        <v>7</v>
      </c>
      <c r="P13" s="191">
        <f>IF(D13=4,VLOOKUP(C13,Szakmaszorzók!$B$2:$D$25,2,0),VLOOKUP(C13,Szakmaszorzók!$B$2:$D$25,3,0))</f>
        <v>2.85</v>
      </c>
      <c r="Q13" s="192">
        <f>'Támogatás szorzat tényezői'!$C$2*'Támogatás szorzat tényezői'!$C$3*N13*P13</f>
        <v>1026000</v>
      </c>
      <c r="R13" s="192">
        <f>'Támogatás szorzat tényezői'!$C$2*'Támogatás szorzat tényezői'!$C$3*P13</f>
        <v>513000</v>
      </c>
    </row>
    <row r="14" spans="1:18" x14ac:dyDescent="0.25">
      <c r="A14" s="178">
        <v>49</v>
      </c>
      <c r="B14" s="287" t="str">
        <f t="shared" si="0"/>
        <v>Bádogos</v>
      </c>
      <c r="C14" s="178" t="s">
        <v>1282</v>
      </c>
      <c r="D14" s="178">
        <v>4</v>
      </c>
      <c r="E14" s="178">
        <v>732</v>
      </c>
      <c r="F14" s="178">
        <v>6</v>
      </c>
      <c r="G14" s="178">
        <v>2</v>
      </c>
      <c r="H14" s="178" t="str">
        <f t="shared" si="1"/>
        <v>0732</v>
      </c>
      <c r="I14" s="178" t="str">
        <f t="shared" si="2"/>
        <v>06</v>
      </c>
      <c r="J14" s="178" t="str">
        <f t="shared" si="3"/>
        <v>02</v>
      </c>
      <c r="K14" s="178" t="str">
        <f t="shared" si="4"/>
        <v>4 0732 06 02</v>
      </c>
      <c r="L14" s="177" t="s">
        <v>64</v>
      </c>
      <c r="M14" s="178">
        <v>3</v>
      </c>
      <c r="N14" s="178">
        <v>2</v>
      </c>
      <c r="O14" s="178">
        <v>4</v>
      </c>
      <c r="P14" s="191">
        <f>IF(D14=4,VLOOKUP(C14,Szakmaszorzók!$B$2:$D$25,2,0),VLOOKUP(C14,Szakmaszorzók!$B$2:$D$25,3,0))</f>
        <v>2.42</v>
      </c>
      <c r="Q14" s="192">
        <f>'Támogatás szorzat tényezői'!$C$2*'Támogatás szorzat tényezői'!$C$3*N14*P14</f>
        <v>871200</v>
      </c>
      <c r="R14" s="192">
        <f>'Támogatás szorzat tényezői'!$C$2*'Támogatás szorzat tényezői'!$C$3*P14</f>
        <v>435600</v>
      </c>
    </row>
    <row r="15" spans="1:18" x14ac:dyDescent="0.25">
      <c r="A15" s="178">
        <v>3</v>
      </c>
      <c r="B15" s="287" t="str">
        <f t="shared" si="0"/>
        <v>Bányaipari technikus</v>
      </c>
      <c r="C15" s="178" t="s">
        <v>1293</v>
      </c>
      <c r="D15" s="178">
        <v>5</v>
      </c>
      <c r="E15" s="178">
        <v>724</v>
      </c>
      <c r="F15" s="178">
        <v>1</v>
      </c>
      <c r="G15" s="178">
        <v>1</v>
      </c>
      <c r="H15" s="178" t="str">
        <f t="shared" si="1"/>
        <v>0724</v>
      </c>
      <c r="I15" s="178" t="str">
        <f t="shared" si="2"/>
        <v>01</v>
      </c>
      <c r="J15" s="178" t="str">
        <f t="shared" si="3"/>
        <v>01</v>
      </c>
      <c r="K15" s="178" t="str">
        <f t="shared" si="4"/>
        <v>5 0724 01 01</v>
      </c>
      <c r="L15" s="177" t="s">
        <v>1292</v>
      </c>
      <c r="M15" s="178">
        <v>5</v>
      </c>
      <c r="N15" s="178">
        <v>2</v>
      </c>
      <c r="O15" s="178">
        <v>6</v>
      </c>
      <c r="P15" s="191">
        <f>IF(D15=4,VLOOKUP(C15,Szakmaszorzók!$B$2:$D$25,2,0),VLOOKUP(C15,Szakmaszorzók!$B$2:$D$25,3,0))</f>
        <v>2.42</v>
      </c>
      <c r="Q15" s="192">
        <f>'Támogatás szorzat tényezői'!$C$2*'Támogatás szorzat tényezői'!$C$3*N15*P15</f>
        <v>871200</v>
      </c>
      <c r="R15" s="192">
        <f>'Támogatás szorzat tényezői'!$C$2*'Támogatás szorzat tényezői'!$C$3*P15</f>
        <v>435600</v>
      </c>
    </row>
    <row r="16" spans="1:18" x14ac:dyDescent="0.25">
      <c r="A16" s="178">
        <v>4</v>
      </c>
      <c r="B16" s="287" t="str">
        <f t="shared" si="0"/>
        <v>Bányaművelő</v>
      </c>
      <c r="C16" s="178" t="s">
        <v>1293</v>
      </c>
      <c r="D16" s="178">
        <v>4</v>
      </c>
      <c r="E16" s="178">
        <v>724</v>
      </c>
      <c r="F16" s="178">
        <v>1</v>
      </c>
      <c r="G16" s="178">
        <v>2</v>
      </c>
      <c r="H16" s="178" t="str">
        <f t="shared" si="1"/>
        <v>0724</v>
      </c>
      <c r="I16" s="178" t="str">
        <f t="shared" si="2"/>
        <v>01</v>
      </c>
      <c r="J16" s="178" t="str">
        <f t="shared" si="3"/>
        <v>02</v>
      </c>
      <c r="K16" s="178" t="str">
        <f t="shared" si="4"/>
        <v>4 0724 01 02</v>
      </c>
      <c r="L16" s="177" t="s">
        <v>73</v>
      </c>
      <c r="M16" s="178">
        <v>3</v>
      </c>
      <c r="N16" s="178">
        <v>2</v>
      </c>
      <c r="O16" s="178">
        <v>5</v>
      </c>
      <c r="P16" s="191">
        <f>IF(D16=4,VLOOKUP(C16,Szakmaszorzók!$B$2:$D$25,2,0),VLOOKUP(C16,Szakmaszorzók!$B$2:$D$25,3,0))</f>
        <v>2.42</v>
      </c>
      <c r="Q16" s="192">
        <f>'Támogatás szorzat tényezői'!$C$2*'Támogatás szorzat tényezői'!$C$3*N16*P16</f>
        <v>871200</v>
      </c>
      <c r="R16" s="192">
        <f>'Támogatás szorzat tényezői'!$C$2*'Támogatás szorzat tényezői'!$C$3*P16</f>
        <v>435600</v>
      </c>
    </row>
    <row r="17" spans="1:18" x14ac:dyDescent="0.25">
      <c r="A17" s="178">
        <v>30</v>
      </c>
      <c r="B17" s="287" t="str">
        <f t="shared" si="0"/>
        <v>Bor- és pezsgőgyártó technikus</v>
      </c>
      <c r="C17" s="178" t="s">
        <v>1296</v>
      </c>
      <c r="D17" s="178">
        <v>5</v>
      </c>
      <c r="E17" s="178">
        <v>721</v>
      </c>
      <c r="F17" s="178">
        <v>5</v>
      </c>
      <c r="G17" s="178">
        <v>1</v>
      </c>
      <c r="H17" s="178" t="str">
        <f t="shared" si="1"/>
        <v>0721</v>
      </c>
      <c r="I17" s="178" t="str">
        <f t="shared" si="2"/>
        <v>05</v>
      </c>
      <c r="J17" s="178" t="str">
        <f t="shared" si="3"/>
        <v>01</v>
      </c>
      <c r="K17" s="178" t="str">
        <f t="shared" si="4"/>
        <v>5 0721 05 01</v>
      </c>
      <c r="L17" s="177" t="s">
        <v>1295</v>
      </c>
      <c r="M17" s="178">
        <v>5</v>
      </c>
      <c r="N17" s="178">
        <v>2</v>
      </c>
      <c r="O17" s="178">
        <v>6</v>
      </c>
      <c r="P17" s="191">
        <f>IF(D17=4,VLOOKUP(C17,Szakmaszorzók!$B$2:$D$25,2,0),VLOOKUP(C17,Szakmaszorzók!$B$2:$D$25,3,0))</f>
        <v>2.2000000000000002</v>
      </c>
      <c r="Q17" s="192">
        <f>'Támogatás szorzat tényezői'!$C$2*'Támogatás szorzat tényezői'!$C$3*N17*P17</f>
        <v>792000.00000000012</v>
      </c>
      <c r="R17" s="192">
        <f>'Támogatás szorzat tényezői'!$C$2*'Támogatás szorzat tényezői'!$C$3*P17</f>
        <v>396000.00000000006</v>
      </c>
    </row>
    <row r="18" spans="1:18" x14ac:dyDescent="0.25">
      <c r="A18" s="178">
        <v>110</v>
      </c>
      <c r="B18" s="287" t="str">
        <f t="shared" si="0"/>
        <v>Bőrtermékkészítő</v>
      </c>
      <c r="C18" s="178" t="s">
        <v>1298</v>
      </c>
      <c r="D18" s="178">
        <v>4</v>
      </c>
      <c r="E18" s="178">
        <v>723</v>
      </c>
      <c r="F18" s="178">
        <v>16</v>
      </c>
      <c r="G18" s="178">
        <v>1</v>
      </c>
      <c r="H18" s="178" t="str">
        <f t="shared" si="1"/>
        <v>0723</v>
      </c>
      <c r="I18" s="178">
        <f t="shared" si="2"/>
        <v>16</v>
      </c>
      <c r="J18" s="178" t="str">
        <f t="shared" si="3"/>
        <v>01</v>
      </c>
      <c r="K18" s="178" t="str">
        <f t="shared" si="4"/>
        <v>4 0723 16 01</v>
      </c>
      <c r="L18" s="177" t="s">
        <v>1297</v>
      </c>
      <c r="M18" s="178">
        <v>3</v>
      </c>
      <c r="N18" s="178">
        <v>2</v>
      </c>
      <c r="O18" s="178">
        <v>4</v>
      </c>
      <c r="P18" s="191">
        <f>IF(D18=4,VLOOKUP(C18,Szakmaszorzók!$B$2:$D$25,2,0),VLOOKUP(C18,Szakmaszorzók!$B$2:$D$25,3,0))</f>
        <v>2.42</v>
      </c>
      <c r="Q18" s="192">
        <f>'Támogatás szorzat tényezői'!$C$2*'Támogatás szorzat tényezői'!$C$3*N18*P18</f>
        <v>871200</v>
      </c>
      <c r="R18" s="192">
        <f>'Támogatás szorzat tényezői'!$C$2*'Támogatás szorzat tényezői'!$C$3*P18</f>
        <v>435600</v>
      </c>
    </row>
    <row r="19" spans="1:18" x14ac:dyDescent="0.25">
      <c r="A19" s="178">
        <v>50</v>
      </c>
      <c r="B19" s="287" t="str">
        <f t="shared" si="0"/>
        <v>Burkoló</v>
      </c>
      <c r="C19" s="178" t="s">
        <v>1282</v>
      </c>
      <c r="D19" s="178">
        <v>4</v>
      </c>
      <c r="E19" s="178">
        <v>732</v>
      </c>
      <c r="F19" s="178">
        <v>6</v>
      </c>
      <c r="G19" s="178">
        <v>3</v>
      </c>
      <c r="H19" s="178" t="str">
        <f t="shared" si="1"/>
        <v>0732</v>
      </c>
      <c r="I19" s="178" t="str">
        <f t="shared" si="2"/>
        <v>06</v>
      </c>
      <c r="J19" s="178" t="str">
        <f t="shared" si="3"/>
        <v>03</v>
      </c>
      <c r="K19" s="178" t="str">
        <f t="shared" si="4"/>
        <v>4 0732 06 03</v>
      </c>
      <c r="L19" s="177" t="s">
        <v>85</v>
      </c>
      <c r="M19" s="178">
        <v>3</v>
      </c>
      <c r="N19" s="178">
        <v>2</v>
      </c>
      <c r="O19" s="178">
        <v>4</v>
      </c>
      <c r="P19" s="191">
        <f>IF(D19=4,VLOOKUP(C19,Szakmaszorzók!$B$2:$D$25,2,0),VLOOKUP(C19,Szakmaszorzók!$B$2:$D$25,3,0))</f>
        <v>2.42</v>
      </c>
      <c r="Q19" s="192">
        <f>'Támogatás szorzat tényezői'!$C$2*'Támogatás szorzat tényezői'!$C$3*N19*P19</f>
        <v>871200</v>
      </c>
      <c r="R19" s="192">
        <f>'Támogatás szorzat tényezői'!$C$2*'Támogatás szorzat tényezői'!$C$3*P19</f>
        <v>435600</v>
      </c>
    </row>
    <row r="20" spans="1:18" x14ac:dyDescent="0.25">
      <c r="A20" s="178">
        <v>73</v>
      </c>
      <c r="B20" s="287" t="str">
        <f t="shared" si="0"/>
        <v>CNC-programozó</v>
      </c>
      <c r="C20" s="178" t="s">
        <v>1301</v>
      </c>
      <c r="D20" s="178">
        <v>4</v>
      </c>
      <c r="E20" s="178">
        <v>715</v>
      </c>
      <c r="F20" s="178">
        <v>10</v>
      </c>
      <c r="G20" s="178">
        <v>1</v>
      </c>
      <c r="H20" s="178" t="str">
        <f t="shared" si="1"/>
        <v>0715</v>
      </c>
      <c r="I20" s="178">
        <f t="shared" si="2"/>
        <v>10</v>
      </c>
      <c r="J20" s="178" t="str">
        <f t="shared" si="3"/>
        <v>01</v>
      </c>
      <c r="K20" s="178" t="str">
        <f t="shared" si="4"/>
        <v>4 0715 10 01</v>
      </c>
      <c r="L20" s="177" t="s">
        <v>1300</v>
      </c>
      <c r="M20" s="178">
        <v>4</v>
      </c>
      <c r="N20" s="178">
        <v>3</v>
      </c>
      <c r="O20" s="178">
        <v>6</v>
      </c>
      <c r="P20" s="191">
        <f>IF(D20=4,VLOOKUP(C20,Szakmaszorzók!$B$2:$D$25,2,0),VLOOKUP(C20,Szakmaszorzók!$B$2:$D$25,3,0))</f>
        <v>2.42</v>
      </c>
      <c r="Q20" s="192">
        <f>'Támogatás szorzat tényezői'!$C$2*'Támogatás szorzat tényezői'!$C$3*N20*P20</f>
        <v>1306800</v>
      </c>
      <c r="R20" s="192">
        <f>'Támogatás szorzat tényezői'!$C$2*'Támogatás szorzat tényezői'!$C$3*P20</f>
        <v>435600</v>
      </c>
    </row>
    <row r="21" spans="1:18" x14ac:dyDescent="0.25">
      <c r="A21" s="178">
        <v>160</v>
      </c>
      <c r="B21" s="287" t="str">
        <f t="shared" si="0"/>
        <v>Cukrász</v>
      </c>
      <c r="C21" s="178" t="s">
        <v>1303</v>
      </c>
      <c r="D21" s="178">
        <v>4</v>
      </c>
      <c r="E21" s="178">
        <v>1013</v>
      </c>
      <c r="F21" s="178">
        <v>23</v>
      </c>
      <c r="G21" s="178">
        <v>1</v>
      </c>
      <c r="H21" s="178">
        <f t="shared" si="1"/>
        <v>1013</v>
      </c>
      <c r="I21" s="178">
        <f t="shared" si="2"/>
        <v>23</v>
      </c>
      <c r="J21" s="178" t="str">
        <f t="shared" si="3"/>
        <v>01</v>
      </c>
      <c r="K21" s="178" t="str">
        <f t="shared" si="4"/>
        <v>4 1013 23 01</v>
      </c>
      <c r="L21" s="177" t="s">
        <v>79</v>
      </c>
      <c r="M21" s="178">
        <v>3</v>
      </c>
      <c r="N21" s="178">
        <v>2</v>
      </c>
      <c r="O21" s="178">
        <v>5</v>
      </c>
      <c r="P21" s="191">
        <f>IF(D21=4,VLOOKUP(C21,Szakmaszorzók!$B$2:$D$25,2,0),VLOOKUP(C21,Szakmaszorzók!$B$2:$D$25,3,0))</f>
        <v>2.2000000000000002</v>
      </c>
      <c r="Q21" s="192">
        <f>'Támogatás szorzat tényezői'!$C$2*'Támogatás szorzat tényezői'!$C$3*N21*P21</f>
        <v>792000.00000000012</v>
      </c>
      <c r="R21" s="192">
        <f>'Támogatás szorzat tényezői'!$C$2*'Támogatás szorzat tényezői'!$C$3*P21</f>
        <v>396000.00000000006</v>
      </c>
    </row>
    <row r="22" spans="1:18" x14ac:dyDescent="0.25">
      <c r="A22" s="178">
        <v>161</v>
      </c>
      <c r="B22" s="287" t="str">
        <f t="shared" si="0"/>
        <v>Cukrász szaktechnikus</v>
      </c>
      <c r="C22" s="178" t="s">
        <v>1303</v>
      </c>
      <c r="D22" s="178">
        <v>5</v>
      </c>
      <c r="E22" s="178">
        <v>1013</v>
      </c>
      <c r="F22" s="178">
        <v>23</v>
      </c>
      <c r="G22" s="178">
        <v>2</v>
      </c>
      <c r="H22" s="178">
        <f t="shared" si="1"/>
        <v>1013</v>
      </c>
      <c r="I22" s="178">
        <f t="shared" si="2"/>
        <v>23</v>
      </c>
      <c r="J22" s="178" t="str">
        <f t="shared" si="3"/>
        <v>02</v>
      </c>
      <c r="K22" s="178" t="str">
        <f t="shared" si="4"/>
        <v>5 1013 23 02</v>
      </c>
      <c r="L22" s="177" t="s">
        <v>1304</v>
      </c>
      <c r="M22" s="178">
        <v>5</v>
      </c>
      <c r="N22" s="178">
        <v>2</v>
      </c>
      <c r="O22" s="178">
        <v>6</v>
      </c>
      <c r="P22" s="191">
        <f>IF(D22=4,VLOOKUP(C22,Szakmaszorzók!$B$2:$D$25,2,0),VLOOKUP(C22,Szakmaszorzók!$B$2:$D$25,3,0))</f>
        <v>2.2000000000000002</v>
      </c>
      <c r="Q22" s="192">
        <f>'Támogatás szorzat tényezői'!$C$2*'Támogatás szorzat tényezői'!$C$3*N22*P22</f>
        <v>792000.00000000012</v>
      </c>
      <c r="R22" s="192">
        <f>'Támogatás szorzat tényezői'!$C$2*'Támogatás szorzat tényezői'!$C$3*P22</f>
        <v>396000.00000000006</v>
      </c>
    </row>
    <row r="23" spans="1:18" x14ac:dyDescent="0.25">
      <c r="A23" s="178">
        <v>116</v>
      </c>
      <c r="B23" s="287" t="str">
        <f t="shared" si="0"/>
        <v>Dekoratőr</v>
      </c>
      <c r="C23" s="178" t="s">
        <v>1298</v>
      </c>
      <c r="D23" s="178">
        <v>5</v>
      </c>
      <c r="E23" s="178">
        <v>212</v>
      </c>
      <c r="F23" s="178">
        <v>16</v>
      </c>
      <c r="G23" s="178">
        <v>7</v>
      </c>
      <c r="H23" s="178" t="str">
        <f t="shared" si="1"/>
        <v>0212</v>
      </c>
      <c r="I23" s="178">
        <f t="shared" si="2"/>
        <v>16</v>
      </c>
      <c r="J23" s="178" t="str">
        <f t="shared" si="3"/>
        <v>07</v>
      </c>
      <c r="K23" s="178" t="str">
        <f t="shared" si="4"/>
        <v>5 0212 16 07</v>
      </c>
      <c r="L23" s="177" t="s">
        <v>81</v>
      </c>
      <c r="M23" s="178">
        <v>5</v>
      </c>
      <c r="N23" s="178">
        <v>2</v>
      </c>
      <c r="O23" s="178">
        <v>5</v>
      </c>
      <c r="P23" s="191">
        <f>IF(D23=4,VLOOKUP(C23,Szakmaszorzók!$B$2:$D$25,2,0),VLOOKUP(C23,Szakmaszorzók!$B$2:$D$25,3,0))</f>
        <v>2.42</v>
      </c>
      <c r="Q23" s="192">
        <f>'Támogatás szorzat tényezői'!$C$2*'Támogatás szorzat tényezői'!$C$3*N23*P23</f>
        <v>871200</v>
      </c>
      <c r="R23" s="192">
        <f>'Támogatás szorzat tényezői'!$C$2*'Támogatás szorzat tényezői'!$C$3*P23</f>
        <v>435600</v>
      </c>
    </row>
    <row r="24" spans="1:18" x14ac:dyDescent="0.25">
      <c r="A24" s="178">
        <v>111</v>
      </c>
      <c r="B24" s="287" t="str">
        <f t="shared" si="0"/>
        <v>Divat-, jelmez- és díszlettervező</v>
      </c>
      <c r="C24" s="178" t="s">
        <v>1298</v>
      </c>
      <c r="D24" s="178">
        <v>5</v>
      </c>
      <c r="E24" s="178">
        <v>212</v>
      </c>
      <c r="F24" s="178">
        <v>16</v>
      </c>
      <c r="G24" s="178">
        <v>2</v>
      </c>
      <c r="H24" s="178" t="str">
        <f t="shared" si="1"/>
        <v>0212</v>
      </c>
      <c r="I24" s="178">
        <f t="shared" si="2"/>
        <v>16</v>
      </c>
      <c r="J24" s="178" t="str">
        <f t="shared" si="3"/>
        <v>02</v>
      </c>
      <c r="K24" s="178" t="str">
        <f t="shared" si="4"/>
        <v>5 0212 16 02</v>
      </c>
      <c r="L24" s="177" t="s">
        <v>1306</v>
      </c>
      <c r="M24" s="178">
        <v>5</v>
      </c>
      <c r="N24" s="178">
        <v>2</v>
      </c>
      <c r="O24" s="178">
        <v>5</v>
      </c>
      <c r="P24" s="191">
        <f>IF(D24=4,VLOOKUP(C24,Szakmaszorzók!$B$2:$D$25,2,0),VLOOKUP(C24,Szakmaszorzók!$B$2:$D$25,3,0))</f>
        <v>2.42</v>
      </c>
      <c r="Q24" s="192">
        <f>'Támogatás szorzat tényezői'!$C$2*'Támogatás szorzat tényezői'!$C$3*N24*P24</f>
        <v>871200</v>
      </c>
      <c r="R24" s="192">
        <f>'Támogatás szorzat tényezői'!$C$2*'Támogatás szorzat tényezői'!$C$3*P24</f>
        <v>435600</v>
      </c>
    </row>
    <row r="25" spans="1:18" x14ac:dyDescent="0.25">
      <c r="A25" s="178">
        <v>112</v>
      </c>
      <c r="B25" s="287" t="str">
        <f t="shared" si="0"/>
        <v>Divatszabó</v>
      </c>
      <c r="C25" s="178" t="s">
        <v>1298</v>
      </c>
      <c r="D25" s="178">
        <v>4</v>
      </c>
      <c r="E25" s="178">
        <v>723</v>
      </c>
      <c r="F25" s="178">
        <v>16</v>
      </c>
      <c r="G25" s="178">
        <v>3</v>
      </c>
      <c r="H25" s="178" t="str">
        <f t="shared" si="1"/>
        <v>0723</v>
      </c>
      <c r="I25" s="178">
        <f t="shared" si="2"/>
        <v>16</v>
      </c>
      <c r="J25" s="178" t="str">
        <f t="shared" si="3"/>
        <v>03</v>
      </c>
      <c r="K25" s="178" t="str">
        <f t="shared" si="4"/>
        <v>4 0723 16 03</v>
      </c>
      <c r="L25" s="177" t="s">
        <v>1307</v>
      </c>
      <c r="M25" s="178">
        <v>3</v>
      </c>
      <c r="N25" s="178">
        <v>2</v>
      </c>
      <c r="O25" s="178">
        <v>4</v>
      </c>
      <c r="P25" s="191">
        <f>IF(D25=4,VLOOKUP(C25,Szakmaszorzók!$B$2:$D$25,2,0),VLOOKUP(C25,Szakmaszorzók!$B$2:$D$25,3,0))</f>
        <v>2.42</v>
      </c>
      <c r="Q25" s="192">
        <f>'Támogatás szorzat tényezői'!$C$2*'Támogatás szorzat tényezői'!$C$3*N25*P25</f>
        <v>871200</v>
      </c>
      <c r="R25" s="192">
        <f>'Támogatás szorzat tényezői'!$C$2*'Támogatás szorzat tényezői'!$C$3*P25</f>
        <v>435600</v>
      </c>
    </row>
    <row r="26" spans="1:18" x14ac:dyDescent="0.25">
      <c r="A26" s="178">
        <v>31</v>
      </c>
      <c r="B26" s="287" t="str">
        <f t="shared" si="0"/>
        <v>Édességkészítő</v>
      </c>
      <c r="C26" s="178" t="s">
        <v>1296</v>
      </c>
      <c r="D26" s="178">
        <v>4</v>
      </c>
      <c r="E26" s="178">
        <v>721</v>
      </c>
      <c r="F26" s="178">
        <v>5</v>
      </c>
      <c r="G26" s="178">
        <v>2</v>
      </c>
      <c r="H26" s="178" t="str">
        <f t="shared" si="1"/>
        <v>0721</v>
      </c>
      <c r="I26" s="178" t="str">
        <f t="shared" si="2"/>
        <v>05</v>
      </c>
      <c r="J26" s="178" t="str">
        <f t="shared" si="3"/>
        <v>02</v>
      </c>
      <c r="K26" s="178" t="str">
        <f t="shared" si="4"/>
        <v>4 0721 05 02</v>
      </c>
      <c r="L26" s="177" t="s">
        <v>1308</v>
      </c>
      <c r="M26" s="178">
        <v>3</v>
      </c>
      <c r="N26" s="178">
        <v>2</v>
      </c>
      <c r="O26" s="178">
        <v>4</v>
      </c>
      <c r="P26" s="191">
        <f>IF(D26=4,VLOOKUP(C26,Szakmaszorzók!$B$2:$D$25,2,0),VLOOKUP(C26,Szakmaszorzók!$B$2:$D$25,3,0))</f>
        <v>2.2000000000000002</v>
      </c>
      <c r="Q26" s="192">
        <f>'Támogatás szorzat tényezői'!$C$2*'Támogatás szorzat tényezői'!$C$3*N26*P26</f>
        <v>792000.00000000012</v>
      </c>
      <c r="R26" s="192">
        <f>'Támogatás szorzat tényezői'!$C$2*'Támogatás szorzat tényezői'!$C$3*P26</f>
        <v>396000.00000000006</v>
      </c>
    </row>
    <row r="27" spans="1:18" x14ac:dyDescent="0.25">
      <c r="A27" s="178">
        <v>14</v>
      </c>
      <c r="B27" s="287" t="str">
        <f t="shared" si="0"/>
        <v>Egészségügyi asszisztens</v>
      </c>
      <c r="C27" s="178" t="s">
        <v>1285</v>
      </c>
      <c r="D27" s="178">
        <v>5</v>
      </c>
      <c r="E27" s="178">
        <v>913</v>
      </c>
      <c r="F27" s="178">
        <v>3</v>
      </c>
      <c r="G27" s="178">
        <v>2</v>
      </c>
      <c r="H27" s="178" t="str">
        <f t="shared" si="1"/>
        <v>0913</v>
      </c>
      <c r="I27" s="178" t="str">
        <f t="shared" si="2"/>
        <v>03</v>
      </c>
      <c r="J27" s="178" t="str">
        <f t="shared" si="3"/>
        <v>02</v>
      </c>
      <c r="K27" s="178" t="str">
        <f t="shared" si="4"/>
        <v>5 0913 03 02</v>
      </c>
      <c r="L27" s="177" t="s">
        <v>1309</v>
      </c>
      <c r="M27" s="178">
        <v>5</v>
      </c>
      <c r="N27" s="178">
        <v>2</v>
      </c>
      <c r="O27" s="178">
        <v>5</v>
      </c>
      <c r="P27" s="191">
        <f>IF(D27=4,VLOOKUP(C27,Szakmaszorzók!$B$2:$D$25,2,0),VLOOKUP(C27,Szakmaszorzók!$B$2:$D$25,3,0))</f>
        <v>2.2000000000000002</v>
      </c>
      <c r="Q27" s="192">
        <f>'Támogatás szorzat tényezői'!$C$2*'Támogatás szorzat tényezői'!$C$3*N27*P27</f>
        <v>792000.00000000012</v>
      </c>
      <c r="R27" s="192">
        <f>'Támogatás szorzat tényezői'!$C$2*'Támogatás szorzat tényezői'!$C$3*P27</f>
        <v>396000.00000000006</v>
      </c>
    </row>
    <row r="28" spans="1:18" x14ac:dyDescent="0.25">
      <c r="A28" s="178">
        <v>15</v>
      </c>
      <c r="B28" s="287" t="str">
        <f t="shared" si="0"/>
        <v>Egészségügyi laboráns</v>
      </c>
      <c r="C28" s="178" t="s">
        <v>1285</v>
      </c>
      <c r="D28" s="178">
        <v>5</v>
      </c>
      <c r="E28" s="178">
        <v>914</v>
      </c>
      <c r="F28" s="178">
        <v>3</v>
      </c>
      <c r="G28" s="178">
        <v>3</v>
      </c>
      <c r="H28" s="178" t="str">
        <f t="shared" si="1"/>
        <v>0914</v>
      </c>
      <c r="I28" s="178" t="str">
        <f t="shared" si="2"/>
        <v>03</v>
      </c>
      <c r="J28" s="178" t="str">
        <f t="shared" si="3"/>
        <v>03</v>
      </c>
      <c r="K28" s="178" t="str">
        <f t="shared" si="4"/>
        <v>5 0914 03 03</v>
      </c>
      <c r="L28" s="177" t="s">
        <v>1310</v>
      </c>
      <c r="M28" s="178">
        <v>5</v>
      </c>
      <c r="N28" s="178">
        <v>2</v>
      </c>
      <c r="O28" s="178">
        <v>5</v>
      </c>
      <c r="P28" s="191">
        <f>IF(D28=4,VLOOKUP(C28,Szakmaszorzók!$B$2:$D$25,2,0),VLOOKUP(C28,Szakmaszorzók!$B$2:$D$25,3,0))</f>
        <v>2.2000000000000002</v>
      </c>
      <c r="Q28" s="192">
        <f>'Támogatás szorzat tényezői'!$C$2*'Támogatás szorzat tényezői'!$C$3*N28*P28</f>
        <v>792000.00000000012</v>
      </c>
      <c r="R28" s="192">
        <f>'Támogatás szorzat tényezői'!$C$2*'Támogatás szorzat tényezői'!$C$3*P28</f>
        <v>396000.00000000006</v>
      </c>
    </row>
    <row r="29" spans="1:18" x14ac:dyDescent="0.25">
      <c r="A29" s="178">
        <v>24</v>
      </c>
      <c r="B29" s="287" t="str">
        <f t="shared" si="0"/>
        <v>Elektronikai műszerész</v>
      </c>
      <c r="C29" s="178" t="s">
        <v>1290</v>
      </c>
      <c r="D29" s="178">
        <v>4</v>
      </c>
      <c r="E29" s="178">
        <v>713</v>
      </c>
      <c r="F29" s="178">
        <v>4</v>
      </c>
      <c r="G29" s="178">
        <v>2</v>
      </c>
      <c r="H29" s="178" t="str">
        <f t="shared" si="1"/>
        <v>0713</v>
      </c>
      <c r="I29" s="178" t="str">
        <f t="shared" si="2"/>
        <v>04</v>
      </c>
      <c r="J29" s="178" t="str">
        <f t="shared" si="3"/>
        <v>02</v>
      </c>
      <c r="K29" s="178" t="str">
        <f t="shared" si="4"/>
        <v>4 0713 04 02</v>
      </c>
      <c r="L29" s="177" t="s">
        <v>96</v>
      </c>
      <c r="M29" s="178">
        <v>3</v>
      </c>
      <c r="N29" s="178">
        <v>2</v>
      </c>
      <c r="O29" s="178">
        <v>5</v>
      </c>
      <c r="P29" s="191">
        <f>IF(D29=4,VLOOKUP(C29,Szakmaszorzók!$B$2:$D$25,2,0),VLOOKUP(C29,Szakmaszorzók!$B$2:$D$25,3,0))</f>
        <v>2.42</v>
      </c>
      <c r="Q29" s="192">
        <f>'Támogatás szorzat tényezői'!$C$2*'Támogatás szorzat tényezői'!$C$3*N29*P29</f>
        <v>871200</v>
      </c>
      <c r="R29" s="192">
        <f>'Támogatás szorzat tényezői'!$C$2*'Támogatás szorzat tényezői'!$C$3*P29</f>
        <v>435600</v>
      </c>
    </row>
    <row r="30" spans="1:18" x14ac:dyDescent="0.25">
      <c r="A30" s="178">
        <v>25</v>
      </c>
      <c r="B30" s="287" t="str">
        <f t="shared" si="0"/>
        <v>Elektronikai technikus</v>
      </c>
      <c r="C30" s="178" t="s">
        <v>1290</v>
      </c>
      <c r="D30" s="178">
        <v>5</v>
      </c>
      <c r="E30" s="178">
        <v>714</v>
      </c>
      <c r="F30" s="178">
        <v>4</v>
      </c>
      <c r="G30" s="178">
        <v>3</v>
      </c>
      <c r="H30" s="178" t="str">
        <f t="shared" si="1"/>
        <v>0714</v>
      </c>
      <c r="I30" s="178" t="str">
        <f t="shared" si="2"/>
        <v>04</v>
      </c>
      <c r="J30" s="178" t="str">
        <f t="shared" si="3"/>
        <v>03</v>
      </c>
      <c r="K30" s="178" t="str">
        <f t="shared" si="4"/>
        <v>5 0714 04 03</v>
      </c>
      <c r="L30" s="177" t="s">
        <v>97</v>
      </c>
      <c r="M30" s="178">
        <v>5</v>
      </c>
      <c r="N30" s="178">
        <v>2</v>
      </c>
      <c r="O30" s="178">
        <v>7</v>
      </c>
      <c r="P30" s="191">
        <f>IF(D30=4,VLOOKUP(C30,Szakmaszorzók!$B$2:$D$25,2,0),VLOOKUP(C30,Szakmaszorzók!$B$2:$D$25,3,0))</f>
        <v>2.85</v>
      </c>
      <c r="Q30" s="192">
        <f>'Támogatás szorzat tényezői'!$C$2*'Támogatás szorzat tényezői'!$C$3*N30*P30</f>
        <v>1026000</v>
      </c>
      <c r="R30" s="192">
        <f>'Támogatás szorzat tényezői'!$C$2*'Támogatás szorzat tényezői'!$C$3*P30</f>
        <v>513000</v>
      </c>
    </row>
    <row r="31" spans="1:18" x14ac:dyDescent="0.25">
      <c r="A31" s="178">
        <v>32</v>
      </c>
      <c r="B31" s="287" t="str">
        <f t="shared" si="0"/>
        <v>Élelmiszer-ellenőrzési technikus</v>
      </c>
      <c r="C31" s="178" t="s">
        <v>1296</v>
      </c>
      <c r="D31" s="178">
        <v>5</v>
      </c>
      <c r="E31" s="178">
        <v>721</v>
      </c>
      <c r="F31" s="178">
        <v>5</v>
      </c>
      <c r="G31" s="178">
        <v>3</v>
      </c>
      <c r="H31" s="178" t="str">
        <f t="shared" si="1"/>
        <v>0721</v>
      </c>
      <c r="I31" s="178" t="str">
        <f t="shared" si="2"/>
        <v>05</v>
      </c>
      <c r="J31" s="178" t="str">
        <f t="shared" si="3"/>
        <v>03</v>
      </c>
      <c r="K31" s="178" t="str">
        <f t="shared" si="4"/>
        <v>5 0721 05 03</v>
      </c>
      <c r="L31" s="177" t="s">
        <v>1312</v>
      </c>
      <c r="M31" s="178">
        <v>5</v>
      </c>
      <c r="N31" s="178">
        <v>2</v>
      </c>
      <c r="O31" s="178">
        <v>6</v>
      </c>
      <c r="P31" s="191">
        <f>IF(D31=4,VLOOKUP(C31,Szakmaszorzók!$B$2:$D$25,2,0),VLOOKUP(C31,Szakmaszorzók!$B$2:$D$25,3,0))</f>
        <v>2.2000000000000002</v>
      </c>
      <c r="Q31" s="192">
        <f>'Támogatás szorzat tényezői'!$C$2*'Támogatás szorzat tényezői'!$C$3*N31*P31</f>
        <v>792000.00000000012</v>
      </c>
      <c r="R31" s="192">
        <f>'Támogatás szorzat tényezői'!$C$2*'Támogatás szorzat tényezői'!$C$3*P31</f>
        <v>396000.00000000006</v>
      </c>
    </row>
    <row r="32" spans="1:18" x14ac:dyDescent="0.25">
      <c r="A32" s="178">
        <v>33</v>
      </c>
      <c r="B32" s="287" t="str">
        <f t="shared" si="0"/>
        <v>Élelmiszeripari gépésztechnikus</v>
      </c>
      <c r="C32" s="178" t="s">
        <v>1296</v>
      </c>
      <c r="D32" s="178">
        <v>5</v>
      </c>
      <c r="E32" s="178">
        <v>721</v>
      </c>
      <c r="F32" s="178">
        <v>5</v>
      </c>
      <c r="G32" s="178">
        <v>4</v>
      </c>
      <c r="H32" s="178" t="str">
        <f t="shared" si="1"/>
        <v>0721</v>
      </c>
      <c r="I32" s="178" t="str">
        <f t="shared" si="2"/>
        <v>05</v>
      </c>
      <c r="J32" s="178" t="str">
        <f t="shared" si="3"/>
        <v>04</v>
      </c>
      <c r="K32" s="178" t="str">
        <f t="shared" si="4"/>
        <v>5 0721 05 04</v>
      </c>
      <c r="L32" s="177" t="s">
        <v>99</v>
      </c>
      <c r="M32" s="178">
        <v>5</v>
      </c>
      <c r="N32" s="178">
        <v>2</v>
      </c>
      <c r="O32" s="178">
        <v>6</v>
      </c>
      <c r="P32" s="191">
        <f>IF(D32=4,VLOOKUP(C32,Szakmaszorzók!$B$2:$D$25,2,0),VLOOKUP(C32,Szakmaszorzók!$B$2:$D$25,3,0))</f>
        <v>2.2000000000000002</v>
      </c>
      <c r="Q32" s="192">
        <f>'Támogatás szorzat tényezői'!$C$2*'Támogatás szorzat tényezői'!$C$3*N32*P32</f>
        <v>792000.00000000012</v>
      </c>
      <c r="R32" s="192">
        <f>'Támogatás szorzat tényezői'!$C$2*'Támogatás szorzat tényezői'!$C$3*P32</f>
        <v>396000.00000000006</v>
      </c>
    </row>
    <row r="33" spans="1:18" x14ac:dyDescent="0.25">
      <c r="A33" s="178">
        <v>34</v>
      </c>
      <c r="B33" s="287" t="str">
        <f t="shared" si="0"/>
        <v>Élelmiszeripari gépkezelő</v>
      </c>
      <c r="C33" s="178" t="s">
        <v>1296</v>
      </c>
      <c r="D33" s="178">
        <v>4</v>
      </c>
      <c r="E33" s="178">
        <v>721</v>
      </c>
      <c r="F33" s="178">
        <v>5</v>
      </c>
      <c r="G33" s="178">
        <v>5</v>
      </c>
      <c r="H33" s="178" t="str">
        <f t="shared" si="1"/>
        <v>0721</v>
      </c>
      <c r="I33" s="178" t="str">
        <f t="shared" si="2"/>
        <v>05</v>
      </c>
      <c r="J33" s="178" t="str">
        <f t="shared" si="3"/>
        <v>05</v>
      </c>
      <c r="K33" s="178" t="str">
        <f t="shared" si="4"/>
        <v>4 0721 05 05</v>
      </c>
      <c r="L33" s="177" t="s">
        <v>1313</v>
      </c>
      <c r="M33" s="178">
        <v>3</v>
      </c>
      <c r="N33" s="178">
        <v>2</v>
      </c>
      <c r="O33" s="178">
        <v>4</v>
      </c>
      <c r="P33" s="191">
        <f>IF(D33=4,VLOOKUP(C33,Szakmaszorzók!$B$2:$D$25,2,0),VLOOKUP(C33,Szakmaszorzók!$B$2:$D$25,3,0))</f>
        <v>2.2000000000000002</v>
      </c>
      <c r="Q33" s="192">
        <f>'Támogatás szorzat tényezői'!$C$2*'Támogatás szorzat tényezői'!$C$3*N33*P33</f>
        <v>792000.00000000012</v>
      </c>
      <c r="R33" s="192">
        <f>'Támogatás szorzat tényezői'!$C$2*'Támogatás szorzat tényezői'!$C$3*P33</f>
        <v>396000.00000000006</v>
      </c>
    </row>
    <row r="34" spans="1:18" x14ac:dyDescent="0.25">
      <c r="A34" s="178">
        <v>74</v>
      </c>
      <c r="B34" s="287" t="str">
        <f t="shared" si="0"/>
        <v>Építő-, szállító- és munkagép-szerelő</v>
      </c>
      <c r="C34" s="178" t="s">
        <v>1301</v>
      </c>
      <c r="D34" s="178">
        <v>4</v>
      </c>
      <c r="E34" s="178">
        <v>715</v>
      </c>
      <c r="F34" s="178">
        <v>10</v>
      </c>
      <c r="G34" s="178">
        <v>2</v>
      </c>
      <c r="H34" s="178" t="str">
        <f t="shared" si="1"/>
        <v>0715</v>
      </c>
      <c r="I34" s="178">
        <f t="shared" si="2"/>
        <v>10</v>
      </c>
      <c r="J34" s="178" t="str">
        <f t="shared" si="3"/>
        <v>02</v>
      </c>
      <c r="K34" s="178" t="str">
        <f t="shared" si="4"/>
        <v>4 0715 10 02</v>
      </c>
      <c r="L34" s="177" t="s">
        <v>1314</v>
      </c>
      <c r="M34" s="178">
        <v>3</v>
      </c>
      <c r="N34" s="178">
        <v>2</v>
      </c>
      <c r="O34" s="178">
        <v>4</v>
      </c>
      <c r="P34" s="191">
        <f>IF(D34=4,VLOOKUP(C34,Szakmaszorzók!$B$2:$D$25,2,0),VLOOKUP(C34,Szakmaszorzók!$B$2:$D$25,3,0))</f>
        <v>2.42</v>
      </c>
      <c r="Q34" s="192">
        <f>'Támogatás szorzat tényezői'!$C$2*'Támogatás szorzat tényezői'!$C$3*N34*P34</f>
        <v>871200</v>
      </c>
      <c r="R34" s="192">
        <f>'Támogatás szorzat tényezői'!$C$2*'Támogatás szorzat tényezői'!$C$3*P34</f>
        <v>435600</v>
      </c>
    </row>
    <row r="35" spans="1:18" x14ac:dyDescent="0.25">
      <c r="A35" s="178">
        <v>75</v>
      </c>
      <c r="B35" s="287" t="str">
        <f t="shared" si="0"/>
        <v>Épület- és szerkezetlakatos</v>
      </c>
      <c r="C35" s="178" t="s">
        <v>1301</v>
      </c>
      <c r="D35" s="178">
        <v>4</v>
      </c>
      <c r="E35" s="178">
        <v>732</v>
      </c>
      <c r="F35" s="178">
        <v>10</v>
      </c>
      <c r="G35" s="178">
        <v>3</v>
      </c>
      <c r="H35" s="178" t="str">
        <f t="shared" si="1"/>
        <v>0732</v>
      </c>
      <c r="I35" s="178">
        <f t="shared" si="2"/>
        <v>10</v>
      </c>
      <c r="J35" s="178" t="str">
        <f t="shared" si="3"/>
        <v>03</v>
      </c>
      <c r="K35" s="178" t="str">
        <f t="shared" si="4"/>
        <v>4 0732 10 03</v>
      </c>
      <c r="L35" s="177" t="s">
        <v>101</v>
      </c>
      <c r="M35" s="178">
        <v>3</v>
      </c>
      <c r="N35" s="178">
        <v>2</v>
      </c>
      <c r="O35" s="178">
        <v>4</v>
      </c>
      <c r="P35" s="191">
        <f>IF(D35=4,VLOOKUP(C35,Szakmaszorzók!$B$2:$D$25,2,0),VLOOKUP(C35,Szakmaszorzók!$B$2:$D$25,3,0))</f>
        <v>2.42</v>
      </c>
      <c r="Q35" s="192">
        <f>'Támogatás szorzat tényezői'!$C$2*'Támogatás szorzat tényezői'!$C$3*N35*P35</f>
        <v>871200</v>
      </c>
      <c r="R35" s="192">
        <f>'Támogatás szorzat tényezői'!$C$2*'Támogatás szorzat tényezői'!$C$3*P35</f>
        <v>435600</v>
      </c>
    </row>
    <row r="36" spans="1:18" x14ac:dyDescent="0.25">
      <c r="A36" s="178">
        <v>64</v>
      </c>
      <c r="B36" s="287" t="str">
        <f t="shared" si="0"/>
        <v>Épületgépész technikus</v>
      </c>
      <c r="C36" s="178" t="s">
        <v>1315</v>
      </c>
      <c r="D36" s="178">
        <v>5</v>
      </c>
      <c r="E36" s="178">
        <v>732</v>
      </c>
      <c r="F36" s="178">
        <v>7</v>
      </c>
      <c r="G36" s="178">
        <v>1</v>
      </c>
      <c r="H36" s="178" t="str">
        <f t="shared" si="1"/>
        <v>0732</v>
      </c>
      <c r="I36" s="178" t="str">
        <f t="shared" si="2"/>
        <v>07</v>
      </c>
      <c r="J36" s="178" t="str">
        <f t="shared" si="3"/>
        <v>01</v>
      </c>
      <c r="K36" s="178" t="str">
        <f t="shared" si="4"/>
        <v>5 0732 07 01</v>
      </c>
      <c r="L36" s="177" t="s">
        <v>103</v>
      </c>
      <c r="M36" s="178">
        <v>5</v>
      </c>
      <c r="N36" s="178">
        <v>2</v>
      </c>
      <c r="O36" s="178">
        <v>6</v>
      </c>
      <c r="P36" s="191">
        <f>IF(D36=4,VLOOKUP(C36,Szakmaszorzók!$B$2:$D$25,2,0),VLOOKUP(C36,Szakmaszorzók!$B$2:$D$25,3,0))</f>
        <v>2.42</v>
      </c>
      <c r="Q36" s="192">
        <f>'Támogatás szorzat tényezői'!$C$2*'Támogatás szorzat tényezői'!$C$3*N36*P36</f>
        <v>871200</v>
      </c>
      <c r="R36" s="192">
        <f>'Támogatás szorzat tényezői'!$C$2*'Támogatás szorzat tényezői'!$C$3*P36</f>
        <v>435600</v>
      </c>
    </row>
    <row r="37" spans="1:18" x14ac:dyDescent="0.25">
      <c r="A37" s="178">
        <v>51</v>
      </c>
      <c r="B37" s="287" t="str">
        <f t="shared" si="0"/>
        <v>Épületszobrász és műköves</v>
      </c>
      <c r="C37" s="178" t="s">
        <v>1282</v>
      </c>
      <c r="D37" s="178">
        <v>4</v>
      </c>
      <c r="E37" s="178">
        <v>732</v>
      </c>
      <c r="F37" s="178">
        <v>6</v>
      </c>
      <c r="G37" s="178">
        <v>4</v>
      </c>
      <c r="H37" s="178" t="str">
        <f t="shared" si="1"/>
        <v>0732</v>
      </c>
      <c r="I37" s="178" t="str">
        <f t="shared" si="2"/>
        <v>06</v>
      </c>
      <c r="J37" s="178" t="str">
        <f t="shared" si="3"/>
        <v>04</v>
      </c>
      <c r="K37" s="178" t="str">
        <f t="shared" si="4"/>
        <v>4 0732 06 04</v>
      </c>
      <c r="L37" s="177" t="s">
        <v>716</v>
      </c>
      <c r="M37" s="178">
        <v>3</v>
      </c>
      <c r="N37" s="178">
        <v>2</v>
      </c>
      <c r="O37" s="178">
        <v>4</v>
      </c>
      <c r="P37" s="191">
        <f>IF(D37=4,VLOOKUP(C37,Szakmaszorzók!$B$2:$D$25,2,0),VLOOKUP(C37,Szakmaszorzók!$B$2:$D$25,3,0))</f>
        <v>2.42</v>
      </c>
      <c r="Q37" s="192">
        <f>'Támogatás szorzat tényezői'!$C$2*'Támogatás szorzat tényezői'!$C$3*N37*P37</f>
        <v>871200</v>
      </c>
      <c r="R37" s="192">
        <f>'Támogatás szorzat tényezői'!$C$2*'Támogatás szorzat tényezői'!$C$3*P37</f>
        <v>435600</v>
      </c>
    </row>
    <row r="38" spans="1:18" x14ac:dyDescent="0.25">
      <c r="A38" s="178">
        <v>125</v>
      </c>
      <c r="B38" s="287" t="str">
        <f t="shared" si="0"/>
        <v>Erdésztechnikus</v>
      </c>
      <c r="C38" s="178" t="s">
        <v>1316</v>
      </c>
      <c r="D38" s="178">
        <v>5</v>
      </c>
      <c r="E38" s="178">
        <v>821</v>
      </c>
      <c r="F38" s="178">
        <v>17</v>
      </c>
      <c r="G38" s="178">
        <v>2</v>
      </c>
      <c r="H38" s="178" t="str">
        <f t="shared" si="1"/>
        <v>0821</v>
      </c>
      <c r="I38" s="178">
        <f t="shared" si="2"/>
        <v>17</v>
      </c>
      <c r="J38" s="178" t="str">
        <f t="shared" si="3"/>
        <v>02</v>
      </c>
      <c r="K38" s="178" t="str">
        <f t="shared" si="4"/>
        <v>5 0821 17 02</v>
      </c>
      <c r="L38" s="177" t="s">
        <v>125</v>
      </c>
      <c r="M38" s="178">
        <v>5</v>
      </c>
      <c r="N38" s="178">
        <v>2</v>
      </c>
      <c r="O38" s="178">
        <v>5</v>
      </c>
      <c r="P38" s="191">
        <f>IF(D38=4,VLOOKUP(C38,Szakmaszorzók!$B$2:$D$25,2,0),VLOOKUP(C38,Szakmaszorzók!$B$2:$D$25,3,0))</f>
        <v>2.85</v>
      </c>
      <c r="Q38" s="192">
        <f>'Támogatás szorzat tényezői'!$C$2*'Támogatás szorzat tényezői'!$C$3*N38*P38</f>
        <v>1026000</v>
      </c>
      <c r="R38" s="192">
        <f>'Támogatás szorzat tényezői'!$C$2*'Támogatás szorzat tényezői'!$C$3*P38</f>
        <v>513000</v>
      </c>
    </row>
    <row r="39" spans="1:18" x14ac:dyDescent="0.25">
      <c r="A39" s="178">
        <v>124</v>
      </c>
      <c r="B39" s="287" t="str">
        <f t="shared" ref="B39:B70" si="5">L39</f>
        <v>Erdőművelő-fakitermelő</v>
      </c>
      <c r="C39" s="178" t="s">
        <v>1316</v>
      </c>
      <c r="D39" s="178">
        <v>4</v>
      </c>
      <c r="E39" s="178">
        <v>821</v>
      </c>
      <c r="F39" s="178">
        <v>17</v>
      </c>
      <c r="G39" s="178">
        <v>1</v>
      </c>
      <c r="H39" s="178" t="str">
        <f t="shared" ref="H39:H70" si="6">IF(E39&lt;1000,"0"&amp;E39,E39)</f>
        <v>0821</v>
      </c>
      <c r="I39" s="178">
        <f t="shared" ref="I39:I70" si="7">IF(F39&lt;10,"0"&amp;F39,F39)</f>
        <v>17</v>
      </c>
      <c r="J39" s="178" t="str">
        <f t="shared" ref="J39:J70" si="8">IF(G39&lt;10,"0"&amp;G39,G39)</f>
        <v>01</v>
      </c>
      <c r="K39" s="178" t="str">
        <f t="shared" ref="K39:K70" si="9">D39&amp;" "&amp;H39&amp;" "&amp;I39&amp;" "&amp;J39</f>
        <v>4 0821 17 01</v>
      </c>
      <c r="L39" s="177" t="s">
        <v>1317</v>
      </c>
      <c r="M39" s="178">
        <v>3</v>
      </c>
      <c r="N39" s="178">
        <v>2</v>
      </c>
      <c r="O39" s="178">
        <v>4</v>
      </c>
      <c r="P39" s="191">
        <f>IF(D39=4,VLOOKUP(C39,Szakmaszorzók!$B$2:$D$25,2,0),VLOOKUP(C39,Szakmaszorzók!$B$2:$D$25,3,0))</f>
        <v>2.42</v>
      </c>
      <c r="Q39" s="192">
        <f>'Támogatás szorzat tényezői'!$C$2*'Támogatás szorzat tényezői'!$C$3*N39*P39</f>
        <v>871200</v>
      </c>
      <c r="R39" s="192">
        <f>'Támogatás szorzat tényezői'!$C$2*'Támogatás szorzat tényezői'!$C$3*P39</f>
        <v>435600</v>
      </c>
    </row>
    <row r="40" spans="1:18" x14ac:dyDescent="0.25">
      <c r="A40" s="178">
        <v>35</v>
      </c>
      <c r="B40" s="287" t="str">
        <f t="shared" si="5"/>
        <v>Erjedés- és üdítőital-ipari technikus</v>
      </c>
      <c r="C40" s="178" t="s">
        <v>1296</v>
      </c>
      <c r="D40" s="178">
        <v>5</v>
      </c>
      <c r="E40" s="178">
        <v>721</v>
      </c>
      <c r="F40" s="178">
        <v>5</v>
      </c>
      <c r="G40" s="178">
        <v>6</v>
      </c>
      <c r="H40" s="178" t="str">
        <f t="shared" si="6"/>
        <v>0721</v>
      </c>
      <c r="I40" s="178" t="str">
        <f t="shared" si="7"/>
        <v>05</v>
      </c>
      <c r="J40" s="178" t="str">
        <f t="shared" si="8"/>
        <v>06</v>
      </c>
      <c r="K40" s="178" t="str">
        <f t="shared" si="9"/>
        <v>5 0721 05 06</v>
      </c>
      <c r="L40" s="177" t="s">
        <v>1318</v>
      </c>
      <c r="M40" s="178">
        <v>5</v>
      </c>
      <c r="N40" s="178">
        <v>2</v>
      </c>
      <c r="O40" s="178">
        <v>6</v>
      </c>
      <c r="P40" s="191">
        <f>IF(D40=4,VLOOKUP(C40,Szakmaszorzók!$B$2:$D$25,2,0),VLOOKUP(C40,Szakmaszorzók!$B$2:$D$25,3,0))</f>
        <v>2.2000000000000002</v>
      </c>
      <c r="Q40" s="192">
        <f>'Támogatás szorzat tényezői'!$C$2*'Támogatás szorzat tényezői'!$C$3*N40*P40</f>
        <v>792000.00000000012</v>
      </c>
      <c r="R40" s="192">
        <f>'Támogatás szorzat tényezői'!$C$2*'Támogatás szorzat tényezői'!$C$3*P40</f>
        <v>396000.00000000006</v>
      </c>
    </row>
    <row r="41" spans="1:18" x14ac:dyDescent="0.25">
      <c r="A41" s="178">
        <v>36</v>
      </c>
      <c r="B41" s="287" t="str">
        <f t="shared" si="5"/>
        <v>Erjedés- és üdítőital-ipari termékkészítő</v>
      </c>
      <c r="C41" s="178" t="s">
        <v>1296</v>
      </c>
      <c r="D41" s="178">
        <v>4</v>
      </c>
      <c r="E41" s="178">
        <v>721</v>
      </c>
      <c r="F41" s="178">
        <v>5</v>
      </c>
      <c r="G41" s="178">
        <v>7</v>
      </c>
      <c r="H41" s="178" t="str">
        <f t="shared" si="6"/>
        <v>0721</v>
      </c>
      <c r="I41" s="178" t="str">
        <f t="shared" si="7"/>
        <v>05</v>
      </c>
      <c r="J41" s="178" t="str">
        <f t="shared" si="8"/>
        <v>07</v>
      </c>
      <c r="K41" s="178" t="str">
        <f t="shared" si="9"/>
        <v>4 0721 05 07</v>
      </c>
      <c r="L41" s="177" t="s">
        <v>1319</v>
      </c>
      <c r="M41" s="178">
        <v>3</v>
      </c>
      <c r="N41" s="178">
        <v>2</v>
      </c>
      <c r="O41" s="178">
        <v>4</v>
      </c>
      <c r="P41" s="191">
        <f>IF(D41=4,VLOOKUP(C41,Szakmaszorzók!$B$2:$D$25,2,0),VLOOKUP(C41,Szakmaszorzók!$B$2:$D$25,3,0))</f>
        <v>2.2000000000000002</v>
      </c>
      <c r="Q41" s="192">
        <f>'Támogatás szorzat tényezői'!$C$2*'Támogatás szorzat tényezői'!$C$3*N41*P41</f>
        <v>792000.00000000012</v>
      </c>
      <c r="R41" s="192">
        <f>'Támogatás szorzat tényezői'!$C$2*'Támogatás szorzat tényezői'!$C$3*P41</f>
        <v>396000.00000000006</v>
      </c>
    </row>
    <row r="42" spans="1:18" x14ac:dyDescent="0.25">
      <c r="A42" s="178">
        <v>26</v>
      </c>
      <c r="B42" s="287" t="str">
        <f t="shared" si="5"/>
        <v>Erősáramú elektrotechnikus</v>
      </c>
      <c r="C42" s="178" t="s">
        <v>1290</v>
      </c>
      <c r="D42" s="178">
        <v>5</v>
      </c>
      <c r="E42" s="178">
        <v>713</v>
      </c>
      <c r="F42" s="178">
        <v>4</v>
      </c>
      <c r="G42" s="178">
        <v>4</v>
      </c>
      <c r="H42" s="178" t="str">
        <f t="shared" si="6"/>
        <v>0713</v>
      </c>
      <c r="I42" s="178" t="str">
        <f t="shared" si="7"/>
        <v>04</v>
      </c>
      <c r="J42" s="178" t="str">
        <f t="shared" si="8"/>
        <v>04</v>
      </c>
      <c r="K42" s="178" t="str">
        <f t="shared" si="9"/>
        <v>5 0713 04 04</v>
      </c>
      <c r="L42" s="177" t="s">
        <v>109</v>
      </c>
      <c r="M42" s="178">
        <v>5</v>
      </c>
      <c r="N42" s="178">
        <v>2</v>
      </c>
      <c r="O42" s="178">
        <v>7</v>
      </c>
      <c r="P42" s="191">
        <f>IF(D42=4,VLOOKUP(C42,Szakmaszorzók!$B$2:$D$25,2,0),VLOOKUP(C42,Szakmaszorzók!$B$2:$D$25,3,0))</f>
        <v>2.85</v>
      </c>
      <c r="Q42" s="192">
        <f>'Támogatás szorzat tényezői'!$C$2*'Támogatás szorzat tényezői'!$C$3*N42*P42</f>
        <v>1026000</v>
      </c>
      <c r="R42" s="192">
        <f>'Támogatás szorzat tényezői'!$C$2*'Támogatás szorzat tényezői'!$C$3*P42</f>
        <v>513000</v>
      </c>
    </row>
    <row r="43" spans="1:18" x14ac:dyDescent="0.25">
      <c r="A43" s="178">
        <v>69</v>
      </c>
      <c r="B43" s="287" t="str">
        <f t="shared" si="5"/>
        <v>Faipari technikus</v>
      </c>
      <c r="C43" s="178" t="s">
        <v>1289</v>
      </c>
      <c r="D43" s="178">
        <v>5</v>
      </c>
      <c r="E43" s="178">
        <v>722</v>
      </c>
      <c r="F43" s="178">
        <v>8</v>
      </c>
      <c r="G43" s="178">
        <v>2</v>
      </c>
      <c r="H43" s="178" t="str">
        <f t="shared" si="6"/>
        <v>0722</v>
      </c>
      <c r="I43" s="178" t="str">
        <f t="shared" si="7"/>
        <v>08</v>
      </c>
      <c r="J43" s="178" t="str">
        <f t="shared" si="8"/>
        <v>02</v>
      </c>
      <c r="K43" s="178" t="str">
        <f t="shared" si="9"/>
        <v>5 0722 08 02</v>
      </c>
      <c r="L43" s="177" t="s">
        <v>110</v>
      </c>
      <c r="M43" s="178">
        <v>5</v>
      </c>
      <c r="N43" s="178">
        <v>2</v>
      </c>
      <c r="O43" s="178">
        <v>5</v>
      </c>
      <c r="P43" s="191">
        <f>IF(D43=4,VLOOKUP(C43,Szakmaszorzók!$B$2:$D$25,2,0),VLOOKUP(C43,Szakmaszorzók!$B$2:$D$25,3,0))</f>
        <v>2.42</v>
      </c>
      <c r="Q43" s="192">
        <f>'Támogatás szorzat tényezői'!$C$2*'Támogatás szorzat tényezői'!$C$3*N43*P43</f>
        <v>871200</v>
      </c>
      <c r="R43" s="192">
        <f>'Támogatás szorzat tényezői'!$C$2*'Támogatás szorzat tényezői'!$C$3*P43</f>
        <v>435600</v>
      </c>
    </row>
    <row r="44" spans="1:18" x14ac:dyDescent="0.25">
      <c r="A44" s="178">
        <v>86</v>
      </c>
      <c r="B44" s="287" t="str">
        <f t="shared" si="5"/>
        <v>Fegyvergyártó szaktechnikus</v>
      </c>
      <c r="C44" s="178" t="s">
        <v>1321</v>
      </c>
      <c r="D44" s="178">
        <v>5</v>
      </c>
      <c r="E44" s="178">
        <v>1031</v>
      </c>
      <c r="F44" s="178">
        <v>11</v>
      </c>
      <c r="G44" s="178">
        <v>1</v>
      </c>
      <c r="H44" s="178">
        <f t="shared" si="6"/>
        <v>1031</v>
      </c>
      <c r="I44" s="178">
        <f t="shared" si="7"/>
        <v>11</v>
      </c>
      <c r="J44" s="178" t="str">
        <f t="shared" si="8"/>
        <v>01</v>
      </c>
      <c r="K44" s="178" t="str">
        <f t="shared" si="9"/>
        <v>5 1031 11 01</v>
      </c>
      <c r="L44" s="177" t="s">
        <v>1320</v>
      </c>
      <c r="M44" s="178">
        <v>6</v>
      </c>
      <c r="N44" s="178">
        <v>3</v>
      </c>
      <c r="O44" s="178">
        <v>6</v>
      </c>
      <c r="P44" s="191">
        <f>IF(D44=4,VLOOKUP(C44,Szakmaszorzók!$B$2:$D$25,2,0),VLOOKUP(C44,Szakmaszorzók!$B$2:$D$25,3,0))</f>
        <v>2.85</v>
      </c>
      <c r="Q44" s="192">
        <f>'Támogatás szorzat tényezői'!$C$2*'Támogatás szorzat tényezői'!$C$3*N44*P44</f>
        <v>1539000</v>
      </c>
      <c r="R44" s="192">
        <f>'Támogatás szorzat tényezői'!$C$2*'Támogatás szorzat tényezői'!$C$3*P44</f>
        <v>513000</v>
      </c>
    </row>
    <row r="45" spans="1:18" x14ac:dyDescent="0.25">
      <c r="A45" s="178">
        <v>87</v>
      </c>
      <c r="B45" s="287" t="str">
        <f t="shared" si="5"/>
        <v>Fegyverműszerész technikus</v>
      </c>
      <c r="C45" s="178" t="s">
        <v>1321</v>
      </c>
      <c r="D45" s="178">
        <v>5</v>
      </c>
      <c r="E45" s="178">
        <v>1031</v>
      </c>
      <c r="F45" s="178">
        <v>11</v>
      </c>
      <c r="G45" s="178">
        <v>2</v>
      </c>
      <c r="H45" s="178">
        <f t="shared" si="6"/>
        <v>1031</v>
      </c>
      <c r="I45" s="178">
        <f t="shared" si="7"/>
        <v>11</v>
      </c>
      <c r="J45" s="178" t="str">
        <f t="shared" si="8"/>
        <v>02</v>
      </c>
      <c r="K45" s="178" t="str">
        <f t="shared" si="9"/>
        <v>5 1031 11 02</v>
      </c>
      <c r="L45" s="177" t="s">
        <v>1322</v>
      </c>
      <c r="M45" s="178">
        <v>5</v>
      </c>
      <c r="N45" s="178">
        <v>2</v>
      </c>
      <c r="O45" s="178">
        <v>6</v>
      </c>
      <c r="P45" s="191">
        <f>IF(D45=4,VLOOKUP(C45,Szakmaszorzók!$B$2:$D$25,2,0),VLOOKUP(C45,Szakmaszorzók!$B$2:$D$25,3,0))</f>
        <v>2.85</v>
      </c>
      <c r="Q45" s="192">
        <f>'Támogatás szorzat tényezői'!$C$2*'Támogatás szorzat tényezői'!$C$3*N45*P45</f>
        <v>1026000</v>
      </c>
      <c r="R45" s="192">
        <f>'Támogatás szorzat tényezői'!$C$2*'Támogatás szorzat tényezői'!$C$3*P45</f>
        <v>513000</v>
      </c>
    </row>
    <row r="46" spans="1:18" x14ac:dyDescent="0.25">
      <c r="A46" s="178">
        <v>88</v>
      </c>
      <c r="B46" s="287" t="str">
        <f t="shared" si="5"/>
        <v>Fegyveroptikai szaktechnikus</v>
      </c>
      <c r="C46" s="178" t="s">
        <v>1321</v>
      </c>
      <c r="D46" s="178">
        <v>5</v>
      </c>
      <c r="E46" s="178">
        <v>1031</v>
      </c>
      <c r="F46" s="178">
        <v>11</v>
      </c>
      <c r="G46" s="178">
        <v>3</v>
      </c>
      <c r="H46" s="178">
        <f t="shared" si="6"/>
        <v>1031</v>
      </c>
      <c r="I46" s="178">
        <f t="shared" si="7"/>
        <v>11</v>
      </c>
      <c r="J46" s="178" t="str">
        <f t="shared" si="8"/>
        <v>03</v>
      </c>
      <c r="K46" s="178" t="str">
        <f t="shared" si="9"/>
        <v>5 1031 11 03</v>
      </c>
      <c r="L46" s="177" t="s">
        <v>1323</v>
      </c>
      <c r="M46" s="178">
        <v>6</v>
      </c>
      <c r="N46" s="178">
        <v>3</v>
      </c>
      <c r="O46" s="178">
        <v>6</v>
      </c>
      <c r="P46" s="191">
        <f>IF(D46=4,VLOOKUP(C46,Szakmaszorzók!$B$2:$D$25,2,0),VLOOKUP(C46,Szakmaszorzók!$B$2:$D$25,3,0))</f>
        <v>2.85</v>
      </c>
      <c r="Q46" s="192">
        <f>'Támogatás szorzat tényezői'!$C$2*'Támogatás szorzat tényezői'!$C$3*N46*P46</f>
        <v>1539000</v>
      </c>
      <c r="R46" s="192">
        <f>'Támogatás szorzat tényezői'!$C$2*'Támogatás szorzat tényezői'!$C$3*P46</f>
        <v>513000</v>
      </c>
    </row>
    <row r="47" spans="1:18" x14ac:dyDescent="0.25">
      <c r="A47" s="178">
        <v>5</v>
      </c>
      <c r="B47" s="287" t="str">
        <f t="shared" si="5"/>
        <v>Fémelőállító</v>
      </c>
      <c r="C47" s="178" t="s">
        <v>1293</v>
      </c>
      <c r="D47" s="178">
        <v>4</v>
      </c>
      <c r="E47" s="178">
        <v>724</v>
      </c>
      <c r="F47" s="178">
        <v>1</v>
      </c>
      <c r="G47" s="178">
        <v>3</v>
      </c>
      <c r="H47" s="178" t="str">
        <f t="shared" si="6"/>
        <v>0724</v>
      </c>
      <c r="I47" s="178" t="str">
        <f t="shared" si="7"/>
        <v>01</v>
      </c>
      <c r="J47" s="178" t="str">
        <f t="shared" si="8"/>
        <v>03</v>
      </c>
      <c r="K47" s="178" t="str">
        <f t="shared" si="9"/>
        <v>4 0724 01 03</v>
      </c>
      <c r="L47" s="177" t="s">
        <v>1324</v>
      </c>
      <c r="M47" s="178">
        <v>3</v>
      </c>
      <c r="N47" s="178">
        <v>2</v>
      </c>
      <c r="O47" s="178">
        <v>5</v>
      </c>
      <c r="P47" s="191">
        <f>IF(D47=4,VLOOKUP(C47,Szakmaszorzók!$B$2:$D$25,2,0),VLOOKUP(C47,Szakmaszorzók!$B$2:$D$25,3,0))</f>
        <v>2.42</v>
      </c>
      <c r="Q47" s="192">
        <f>'Támogatás szorzat tényezői'!$C$2*'Támogatás szorzat tényezői'!$C$3*N47*P47</f>
        <v>871200</v>
      </c>
      <c r="R47" s="192">
        <f>'Támogatás szorzat tényezői'!$C$2*'Támogatás szorzat tényezői'!$C$3*P47</f>
        <v>435600</v>
      </c>
    </row>
    <row r="48" spans="1:18" x14ac:dyDescent="0.25">
      <c r="A48" s="178">
        <v>138</v>
      </c>
      <c r="B48" s="287" t="str">
        <f t="shared" si="5"/>
        <v>Fémszerkezet-felület-bevonó</v>
      </c>
      <c r="C48" s="178" t="s">
        <v>1287</v>
      </c>
      <c r="D48" s="178">
        <v>4</v>
      </c>
      <c r="E48" s="178">
        <v>715</v>
      </c>
      <c r="F48" s="178">
        <v>19</v>
      </c>
      <c r="G48" s="178">
        <v>3</v>
      </c>
      <c r="H48" s="178" t="str">
        <f t="shared" si="6"/>
        <v>0715</v>
      </c>
      <c r="I48" s="178">
        <f t="shared" si="7"/>
        <v>19</v>
      </c>
      <c r="J48" s="178" t="str">
        <f t="shared" si="8"/>
        <v>03</v>
      </c>
      <c r="K48" s="178" t="str">
        <f t="shared" si="9"/>
        <v>4 0715 19 03</v>
      </c>
      <c r="L48" s="177" t="s">
        <v>1983</v>
      </c>
      <c r="M48" s="178">
        <v>3</v>
      </c>
      <c r="N48" s="178">
        <v>2</v>
      </c>
      <c r="O48" s="178">
        <v>4</v>
      </c>
      <c r="P48" s="191">
        <f>IF(D48=4,VLOOKUP(C48,Szakmaszorzók!$B$2:$D$25,2,0),VLOOKUP(C48,Szakmaszorzók!$B$2:$D$25,3,0))</f>
        <v>2.85</v>
      </c>
      <c r="Q48" s="192">
        <f>'Támogatás szorzat tényezői'!$C$2*'Támogatás szorzat tényezői'!$C$3*N48*P48</f>
        <v>1026000</v>
      </c>
      <c r="R48" s="192">
        <f>'Támogatás szorzat tényezői'!$C$2*'Támogatás szorzat tényezői'!$C$3*P48</f>
        <v>513000</v>
      </c>
    </row>
    <row r="49" spans="1:18" x14ac:dyDescent="0.25">
      <c r="A49" s="178">
        <v>52</v>
      </c>
      <c r="B49" s="287" t="str">
        <f t="shared" si="5"/>
        <v>Festő, mázoló, tapétázó</v>
      </c>
      <c r="C49" s="178" t="s">
        <v>1282</v>
      </c>
      <c r="D49" s="178">
        <v>4</v>
      </c>
      <c r="E49" s="178">
        <v>732</v>
      </c>
      <c r="F49" s="178">
        <v>6</v>
      </c>
      <c r="G49" s="178">
        <v>5</v>
      </c>
      <c r="H49" s="178" t="str">
        <f t="shared" si="6"/>
        <v>0732</v>
      </c>
      <c r="I49" s="178" t="str">
        <f t="shared" si="7"/>
        <v>06</v>
      </c>
      <c r="J49" s="178" t="str">
        <f t="shared" si="8"/>
        <v>05</v>
      </c>
      <c r="K49" s="178" t="str">
        <f t="shared" si="9"/>
        <v>4 0732 06 05</v>
      </c>
      <c r="L49" s="177" t="s">
        <v>117</v>
      </c>
      <c r="M49" s="178">
        <v>3</v>
      </c>
      <c r="N49" s="178">
        <v>2</v>
      </c>
      <c r="O49" s="178">
        <v>4</v>
      </c>
      <c r="P49" s="191">
        <f>IF(D49=4,VLOOKUP(C49,Szakmaszorzók!$B$2:$D$25,2,0),VLOOKUP(C49,Szakmaszorzók!$B$2:$D$25,3,0))</f>
        <v>2.42</v>
      </c>
      <c r="Q49" s="192">
        <f>'Támogatás szorzat tényezői'!$C$2*'Támogatás szorzat tényezői'!$C$3*N49*P49</f>
        <v>871200</v>
      </c>
      <c r="R49" s="192">
        <f>'Támogatás szorzat tényezői'!$C$2*'Támogatás szorzat tényezői'!$C$3*P49</f>
        <v>435600</v>
      </c>
    </row>
    <row r="50" spans="1:18" x14ac:dyDescent="0.25">
      <c r="A50" s="178">
        <v>76</v>
      </c>
      <c r="B50" s="287" t="str">
        <f t="shared" si="5"/>
        <v>Finommechanikai műszerész</v>
      </c>
      <c r="C50" s="178" t="s">
        <v>1301</v>
      </c>
      <c r="D50" s="178">
        <v>4</v>
      </c>
      <c r="E50" s="178">
        <v>715</v>
      </c>
      <c r="F50" s="178">
        <v>10</v>
      </c>
      <c r="G50" s="178">
        <v>4</v>
      </c>
      <c r="H50" s="178" t="str">
        <f t="shared" si="6"/>
        <v>0715</v>
      </c>
      <c r="I50" s="178">
        <f t="shared" si="7"/>
        <v>10</v>
      </c>
      <c r="J50" s="178" t="str">
        <f t="shared" si="8"/>
        <v>04</v>
      </c>
      <c r="K50" s="178" t="str">
        <f t="shared" si="9"/>
        <v>4 0715 10 04</v>
      </c>
      <c r="L50" s="177" t="s">
        <v>118</v>
      </c>
      <c r="M50" s="178">
        <v>3</v>
      </c>
      <c r="N50" s="178">
        <v>2</v>
      </c>
      <c r="O50" s="178">
        <v>5</v>
      </c>
      <c r="P50" s="191">
        <f>IF(D50=4,VLOOKUP(C50,Szakmaszorzók!$B$2:$D$25,2,0),VLOOKUP(C50,Szakmaszorzók!$B$2:$D$25,3,0))</f>
        <v>2.42</v>
      </c>
      <c r="Q50" s="192">
        <f>'Támogatás szorzat tényezői'!$C$2*'Támogatás szorzat tényezői'!$C$3*N50*P50</f>
        <v>871200</v>
      </c>
      <c r="R50" s="192">
        <f>'Támogatás szorzat tényezői'!$C$2*'Támogatás szorzat tényezői'!$C$3*P50</f>
        <v>435600</v>
      </c>
    </row>
    <row r="51" spans="1:18" x14ac:dyDescent="0.25">
      <c r="A51" s="178">
        <v>149</v>
      </c>
      <c r="B51" s="287" t="str">
        <f t="shared" si="5"/>
        <v>Fitness-wellness instruktor</v>
      </c>
      <c r="C51" s="178" t="s">
        <v>1325</v>
      </c>
      <c r="D51" s="178">
        <v>5</v>
      </c>
      <c r="E51" s="178">
        <v>1014</v>
      </c>
      <c r="F51" s="178">
        <v>20</v>
      </c>
      <c r="G51" s="178">
        <v>1</v>
      </c>
      <c r="H51" s="178">
        <f t="shared" si="6"/>
        <v>1014</v>
      </c>
      <c r="I51" s="178">
        <f t="shared" si="7"/>
        <v>20</v>
      </c>
      <c r="J51" s="178" t="str">
        <f t="shared" si="8"/>
        <v>01</v>
      </c>
      <c r="K51" s="178" t="str">
        <f t="shared" si="9"/>
        <v>5 1014 20 01</v>
      </c>
      <c r="L51" s="177" t="s">
        <v>120</v>
      </c>
      <c r="M51" s="178">
        <v>5</v>
      </c>
      <c r="N51" s="178">
        <v>2</v>
      </c>
      <c r="O51" s="178">
        <v>4</v>
      </c>
      <c r="P51" s="191">
        <f>IF(D51=4,VLOOKUP(C51,Szakmaszorzók!$B$2:$D$25,2,0),VLOOKUP(C51,Szakmaszorzók!$B$2:$D$25,3,0))</f>
        <v>2.2000000000000002</v>
      </c>
      <c r="Q51" s="192">
        <f>'Támogatás szorzat tényezői'!$C$2*'Támogatás szorzat tényezői'!$C$3*N51*P51</f>
        <v>792000.00000000012</v>
      </c>
      <c r="R51" s="192">
        <f>'Támogatás szorzat tényezői'!$C$2*'Támogatás szorzat tényezői'!$C$3*P51</f>
        <v>396000.00000000006</v>
      </c>
    </row>
    <row r="52" spans="1:18" x14ac:dyDescent="0.25">
      <c r="A52" s="178">
        <v>6</v>
      </c>
      <c r="B52" s="287" t="str">
        <f t="shared" si="5"/>
        <v>Fluidumkitermelő</v>
      </c>
      <c r="C52" s="178" t="s">
        <v>1293</v>
      </c>
      <c r="D52" s="178">
        <v>4</v>
      </c>
      <c r="E52" s="178">
        <v>724</v>
      </c>
      <c r="F52" s="178">
        <v>1</v>
      </c>
      <c r="G52" s="178">
        <v>4</v>
      </c>
      <c r="H52" s="178" t="str">
        <f t="shared" si="6"/>
        <v>0724</v>
      </c>
      <c r="I52" s="178" t="str">
        <f t="shared" si="7"/>
        <v>01</v>
      </c>
      <c r="J52" s="178" t="str">
        <f t="shared" si="8"/>
        <v>04</v>
      </c>
      <c r="K52" s="178" t="str">
        <f t="shared" si="9"/>
        <v>4 0724 01 04</v>
      </c>
      <c r="L52" s="177" t="s">
        <v>1326</v>
      </c>
      <c r="M52" s="178">
        <v>3</v>
      </c>
      <c r="N52" s="178">
        <v>2</v>
      </c>
      <c r="O52" s="178">
        <v>5</v>
      </c>
      <c r="P52" s="191">
        <f>IF(D52=4,VLOOKUP(C52,Szakmaszorzók!$B$2:$D$25,2,0),VLOOKUP(C52,Szakmaszorzók!$B$2:$D$25,3,0))</f>
        <v>2.42</v>
      </c>
      <c r="Q52" s="192">
        <f>'Támogatás szorzat tényezői'!$C$2*'Támogatás szorzat tényezői'!$C$3*N52*P52</f>
        <v>871200</v>
      </c>
      <c r="R52" s="192">
        <f>'Támogatás szorzat tényezői'!$C$2*'Támogatás szorzat tényezői'!$C$3*P52</f>
        <v>435600</v>
      </c>
    </row>
    <row r="53" spans="1:18" x14ac:dyDescent="0.25">
      <c r="A53" s="178">
        <v>7</v>
      </c>
      <c r="B53" s="287" t="str">
        <f t="shared" si="5"/>
        <v>Fluidumkitermelő technikus</v>
      </c>
      <c r="C53" s="178" t="s">
        <v>1293</v>
      </c>
      <c r="D53" s="178">
        <v>5</v>
      </c>
      <c r="E53" s="178">
        <v>724</v>
      </c>
      <c r="F53" s="178">
        <v>1</v>
      </c>
      <c r="G53" s="178">
        <v>5</v>
      </c>
      <c r="H53" s="178" t="str">
        <f t="shared" si="6"/>
        <v>0724</v>
      </c>
      <c r="I53" s="178" t="str">
        <f t="shared" si="7"/>
        <v>01</v>
      </c>
      <c r="J53" s="178" t="str">
        <f t="shared" si="8"/>
        <v>05</v>
      </c>
      <c r="K53" s="178" t="str">
        <f t="shared" si="9"/>
        <v>5 0724 01 05</v>
      </c>
      <c r="L53" s="177" t="s">
        <v>121</v>
      </c>
      <c r="M53" s="178">
        <v>5</v>
      </c>
      <c r="N53" s="178">
        <v>2</v>
      </c>
      <c r="O53" s="178">
        <v>6</v>
      </c>
      <c r="P53" s="191">
        <f>IF(D53=4,VLOOKUP(C53,Szakmaszorzók!$B$2:$D$25,2,0),VLOOKUP(C53,Szakmaszorzók!$B$2:$D$25,3,0))</f>
        <v>2.42</v>
      </c>
      <c r="Q53" s="192">
        <f>'Támogatás szorzat tényezői'!$C$2*'Támogatás szorzat tényezői'!$C$3*N53*P53</f>
        <v>871200</v>
      </c>
      <c r="R53" s="192">
        <f>'Támogatás szorzat tényezői'!$C$2*'Támogatás szorzat tényezői'!$C$3*P53</f>
        <v>435600</v>
      </c>
    </row>
    <row r="54" spans="1:18" x14ac:dyDescent="0.25">
      <c r="A54" s="178">
        <v>151</v>
      </c>
      <c r="B54" s="287" t="str">
        <f t="shared" si="5"/>
        <v>Fodrász</v>
      </c>
      <c r="C54" s="178" t="s">
        <v>1327</v>
      </c>
      <c r="D54" s="178">
        <v>5</v>
      </c>
      <c r="E54" s="178">
        <v>1012</v>
      </c>
      <c r="F54" s="178">
        <v>21</v>
      </c>
      <c r="G54" s="178">
        <v>1</v>
      </c>
      <c r="H54" s="178">
        <f t="shared" si="6"/>
        <v>1012</v>
      </c>
      <c r="I54" s="178">
        <f t="shared" si="7"/>
        <v>21</v>
      </c>
      <c r="J54" s="178" t="str">
        <f t="shared" si="8"/>
        <v>01</v>
      </c>
      <c r="K54" s="178" t="str">
        <f t="shared" si="9"/>
        <v>5 1012 21 01</v>
      </c>
      <c r="L54" s="177" t="s">
        <v>122</v>
      </c>
      <c r="M54" s="178">
        <v>5</v>
      </c>
      <c r="N54" s="178">
        <v>2</v>
      </c>
      <c r="O54" s="178">
        <v>6</v>
      </c>
      <c r="P54" s="191">
        <f>IF(D54=4,VLOOKUP(C54,Szakmaszorzók!$B$2:$D$25,2,0),VLOOKUP(C54,Szakmaszorzók!$B$2:$D$25,3,0))</f>
        <v>2.42</v>
      </c>
      <c r="Q54" s="192">
        <f>'Támogatás szorzat tényezői'!$C$2*'Támogatás szorzat tényezői'!$C$3*N54*P54</f>
        <v>871200</v>
      </c>
      <c r="R54" s="192">
        <f>'Támogatás szorzat tényezői'!$C$2*'Támogatás szorzat tényezői'!$C$3*P54</f>
        <v>435600</v>
      </c>
    </row>
    <row r="55" spans="1:18" x14ac:dyDescent="0.25">
      <c r="A55" s="178">
        <v>10</v>
      </c>
      <c r="B55" s="287" t="str">
        <f t="shared" si="5"/>
        <v>Fogtechnikus</v>
      </c>
      <c r="C55" s="178" t="s">
        <v>1328</v>
      </c>
      <c r="D55" s="178">
        <v>5</v>
      </c>
      <c r="E55" s="178">
        <v>911</v>
      </c>
      <c r="F55" s="178">
        <v>2</v>
      </c>
      <c r="G55" s="178">
        <v>1</v>
      </c>
      <c r="H55" s="178" t="str">
        <f t="shared" si="6"/>
        <v>0911</v>
      </c>
      <c r="I55" s="178" t="str">
        <f t="shared" si="7"/>
        <v>02</v>
      </c>
      <c r="J55" s="178" t="str">
        <f t="shared" si="8"/>
        <v>01</v>
      </c>
      <c r="K55" s="178" t="str">
        <f t="shared" si="9"/>
        <v>5 0911 02 01</v>
      </c>
      <c r="L55" s="177" t="s">
        <v>126</v>
      </c>
      <c r="M55" s="178" t="s">
        <v>374</v>
      </c>
      <c r="N55" s="178">
        <v>3</v>
      </c>
      <c r="O55" s="178">
        <v>7</v>
      </c>
      <c r="P55" s="191">
        <f>IF(D55=4,VLOOKUP(C55,Szakmaszorzók!$B$2:$D$25,2,0),VLOOKUP(C55,Szakmaszorzók!$B$2:$D$25,3,0))</f>
        <v>2.85</v>
      </c>
      <c r="Q55" s="192">
        <f>'Támogatás szorzat tényezői'!$C$2*'Támogatás szorzat tényezői'!$C$3*N55*P55</f>
        <v>1539000</v>
      </c>
      <c r="R55" s="192">
        <f>'Támogatás szorzat tényezői'!$C$2*'Támogatás szorzat tényezői'!$C$3*P55</f>
        <v>513000</v>
      </c>
    </row>
    <row r="56" spans="1:18" x14ac:dyDescent="0.25">
      <c r="A56" s="178">
        <v>117</v>
      </c>
      <c r="B56" s="287" t="str">
        <f t="shared" si="5"/>
        <v>Fotográfus</v>
      </c>
      <c r="C56" s="178" t="s">
        <v>1298</v>
      </c>
      <c r="D56" s="178">
        <v>5</v>
      </c>
      <c r="E56" s="178">
        <v>213</v>
      </c>
      <c r="F56" s="178">
        <v>16</v>
      </c>
      <c r="G56" s="178">
        <v>8</v>
      </c>
      <c r="H56" s="178" t="str">
        <f t="shared" si="6"/>
        <v>0213</v>
      </c>
      <c r="I56" s="178">
        <f t="shared" si="7"/>
        <v>16</v>
      </c>
      <c r="J56" s="178" t="str">
        <f t="shared" si="8"/>
        <v>08</v>
      </c>
      <c r="K56" s="178" t="str">
        <f t="shared" si="9"/>
        <v>5 0213 16 08</v>
      </c>
      <c r="L56" s="177" t="s">
        <v>1330</v>
      </c>
      <c r="M56" s="178">
        <v>5</v>
      </c>
      <c r="N56" s="178">
        <v>2</v>
      </c>
      <c r="O56" s="178">
        <v>6</v>
      </c>
      <c r="P56" s="191">
        <f>IF(D56=4,VLOOKUP(C56,Szakmaszorzók!$B$2:$D$25,2,0),VLOOKUP(C56,Szakmaszorzók!$B$2:$D$25,3,0))</f>
        <v>2.42</v>
      </c>
      <c r="Q56" s="192">
        <f>'Támogatás szorzat tényezői'!$C$2*'Támogatás szorzat tényezői'!$C$3*N56*P56</f>
        <v>871200</v>
      </c>
      <c r="R56" s="192">
        <f>'Támogatás szorzat tényezői'!$C$2*'Támogatás szorzat tényezői'!$C$3*P56</f>
        <v>435600</v>
      </c>
    </row>
    <row r="57" spans="1:18" x14ac:dyDescent="0.25">
      <c r="A57" s="178">
        <v>126</v>
      </c>
      <c r="B57" s="287" t="str">
        <f t="shared" si="5"/>
        <v>Földmérő, földügyi és térinformatikai technikus</v>
      </c>
      <c r="C57" s="178" t="s">
        <v>1316</v>
      </c>
      <c r="D57" s="178">
        <v>5</v>
      </c>
      <c r="E57" s="178">
        <v>810</v>
      </c>
      <c r="F57" s="178">
        <v>17</v>
      </c>
      <c r="G57" s="178">
        <v>3</v>
      </c>
      <c r="H57" s="178" t="str">
        <f t="shared" si="6"/>
        <v>0810</v>
      </c>
      <c r="I57" s="178">
        <f t="shared" si="7"/>
        <v>17</v>
      </c>
      <c r="J57" s="178" t="str">
        <f t="shared" si="8"/>
        <v>03</v>
      </c>
      <c r="K57" s="178" t="str">
        <f t="shared" si="9"/>
        <v>5 0810 17 03</v>
      </c>
      <c r="L57" s="177" t="s">
        <v>132</v>
      </c>
      <c r="M57" s="178">
        <v>5</v>
      </c>
      <c r="N57" s="178">
        <v>2</v>
      </c>
      <c r="O57" s="178">
        <v>5</v>
      </c>
      <c r="P57" s="191">
        <f>IF(D57=4,VLOOKUP(C57,Szakmaszorzók!$B$2:$D$25,2,0),VLOOKUP(C57,Szakmaszorzók!$B$2:$D$25,3,0))</f>
        <v>2.85</v>
      </c>
      <c r="Q57" s="192">
        <f>'Támogatás szorzat tényezői'!$C$2*'Támogatás szorzat tényezői'!$C$3*N57*P57</f>
        <v>1026000</v>
      </c>
      <c r="R57" s="192">
        <f>'Támogatás szorzat tényezői'!$C$2*'Támogatás szorzat tényezői'!$C$3*P57</f>
        <v>513000</v>
      </c>
    </row>
    <row r="58" spans="1:18" x14ac:dyDescent="0.25">
      <c r="A58" s="178">
        <v>127</v>
      </c>
      <c r="B58" s="287" t="str">
        <f t="shared" si="5"/>
        <v>Gazda</v>
      </c>
      <c r="C58" s="178" t="s">
        <v>1316</v>
      </c>
      <c r="D58" s="178">
        <v>4</v>
      </c>
      <c r="E58" s="178">
        <v>811</v>
      </c>
      <c r="F58" s="178">
        <v>17</v>
      </c>
      <c r="G58" s="178">
        <v>4</v>
      </c>
      <c r="H58" s="178" t="str">
        <f t="shared" si="6"/>
        <v>0811</v>
      </c>
      <c r="I58" s="178">
        <f t="shared" si="7"/>
        <v>17</v>
      </c>
      <c r="J58" s="178" t="str">
        <f t="shared" si="8"/>
        <v>04</v>
      </c>
      <c r="K58" s="178" t="str">
        <f t="shared" si="9"/>
        <v>4 0811 17 04</v>
      </c>
      <c r="L58" s="177" t="s">
        <v>135</v>
      </c>
      <c r="M58" s="178">
        <v>3</v>
      </c>
      <c r="N58" s="178">
        <v>2</v>
      </c>
      <c r="O58" s="178">
        <v>4</v>
      </c>
      <c r="P58" s="191">
        <f>IF(D58=4,VLOOKUP(C58,Szakmaszorzók!$B$2:$D$25,2,0),VLOOKUP(C58,Szakmaszorzók!$B$2:$D$25,3,0))</f>
        <v>2.42</v>
      </c>
      <c r="Q58" s="192">
        <f>'Támogatás szorzat tényezői'!$C$2*'Támogatás szorzat tényezői'!$C$3*N58*P58</f>
        <v>871200</v>
      </c>
      <c r="R58" s="192">
        <f>'Támogatás szorzat tényezői'!$C$2*'Támogatás szorzat tényezői'!$C$3*P58</f>
        <v>435600</v>
      </c>
    </row>
    <row r="59" spans="1:18" x14ac:dyDescent="0.25">
      <c r="A59" s="178">
        <v>77</v>
      </c>
      <c r="B59" s="287" t="str">
        <f t="shared" si="5"/>
        <v>Gépész technikus</v>
      </c>
      <c r="C59" s="178" t="s">
        <v>1301</v>
      </c>
      <c r="D59" s="178">
        <v>5</v>
      </c>
      <c r="E59" s="178">
        <v>715</v>
      </c>
      <c r="F59" s="178">
        <v>10</v>
      </c>
      <c r="G59" s="178">
        <v>5</v>
      </c>
      <c r="H59" s="178" t="str">
        <f t="shared" si="6"/>
        <v>0715</v>
      </c>
      <c r="I59" s="178">
        <f t="shared" si="7"/>
        <v>10</v>
      </c>
      <c r="J59" s="178" t="str">
        <f t="shared" si="8"/>
        <v>05</v>
      </c>
      <c r="K59" s="178" t="str">
        <f t="shared" si="9"/>
        <v>5 0715 10 05</v>
      </c>
      <c r="L59" s="177" t="s">
        <v>1333</v>
      </c>
      <c r="M59" s="178">
        <v>5</v>
      </c>
      <c r="N59" s="178">
        <v>2</v>
      </c>
      <c r="O59" s="178">
        <v>6</v>
      </c>
      <c r="P59" s="191">
        <f>IF(D59=4,VLOOKUP(C59,Szakmaszorzók!$B$2:$D$25,2,0),VLOOKUP(C59,Szakmaszorzók!$B$2:$D$25,3,0))</f>
        <v>2.85</v>
      </c>
      <c r="Q59" s="192">
        <f>'Támogatás szorzat tényezői'!$C$2*'Támogatás szorzat tényezői'!$C$3*N59*P59</f>
        <v>1026000</v>
      </c>
      <c r="R59" s="192">
        <f>'Támogatás szorzat tényezői'!$C$2*'Támogatás szorzat tényezői'!$C$3*P59</f>
        <v>513000</v>
      </c>
    </row>
    <row r="60" spans="1:18" x14ac:dyDescent="0.25">
      <c r="A60" s="178">
        <v>78</v>
      </c>
      <c r="B60" s="287" t="str">
        <f t="shared" si="5"/>
        <v>Gépgyártás-technológiai technikus</v>
      </c>
      <c r="C60" s="178" t="s">
        <v>1301</v>
      </c>
      <c r="D60" s="178">
        <v>5</v>
      </c>
      <c r="E60" s="178">
        <v>715</v>
      </c>
      <c r="F60" s="178">
        <v>10</v>
      </c>
      <c r="G60" s="178">
        <v>6</v>
      </c>
      <c r="H60" s="178" t="str">
        <f t="shared" si="6"/>
        <v>0715</v>
      </c>
      <c r="I60" s="178">
        <f t="shared" si="7"/>
        <v>10</v>
      </c>
      <c r="J60" s="178" t="str">
        <f t="shared" si="8"/>
        <v>06</v>
      </c>
      <c r="K60" s="178" t="str">
        <f t="shared" si="9"/>
        <v>5 0715 10 06</v>
      </c>
      <c r="L60" s="177" t="s">
        <v>1334</v>
      </c>
      <c r="M60" s="178">
        <v>5</v>
      </c>
      <c r="N60" s="178">
        <v>2</v>
      </c>
      <c r="O60" s="178">
        <v>6</v>
      </c>
      <c r="P60" s="191">
        <f>IF(D60=4,VLOOKUP(C60,Szakmaszorzók!$B$2:$D$25,2,0),VLOOKUP(C60,Szakmaszorzók!$B$2:$D$25,3,0))</f>
        <v>2.85</v>
      </c>
      <c r="Q60" s="192">
        <f>'Támogatás szorzat tényezői'!$C$2*'Támogatás szorzat tényezői'!$C$3*N60*P60</f>
        <v>1026000</v>
      </c>
      <c r="R60" s="192">
        <f>'Támogatás szorzat tényezői'!$C$2*'Támogatás szorzat tényezői'!$C$3*P60</f>
        <v>513000</v>
      </c>
    </row>
    <row r="61" spans="1:18" x14ac:dyDescent="0.25">
      <c r="A61" s="178">
        <v>79</v>
      </c>
      <c r="B61" s="287" t="str">
        <f t="shared" si="5"/>
        <v>Gépi és CNC forgácsoló</v>
      </c>
      <c r="C61" s="178" t="s">
        <v>1301</v>
      </c>
      <c r="D61" s="178">
        <v>4</v>
      </c>
      <c r="E61" s="178">
        <v>715</v>
      </c>
      <c r="F61" s="178">
        <v>10</v>
      </c>
      <c r="G61" s="178">
        <v>7</v>
      </c>
      <c r="H61" s="178" t="str">
        <f t="shared" si="6"/>
        <v>0715</v>
      </c>
      <c r="I61" s="178">
        <f t="shared" si="7"/>
        <v>10</v>
      </c>
      <c r="J61" s="178" t="str">
        <f t="shared" si="8"/>
        <v>07</v>
      </c>
      <c r="K61" s="178" t="str">
        <f t="shared" si="9"/>
        <v>4 0715 10 07</v>
      </c>
      <c r="L61" s="177" t="s">
        <v>1335</v>
      </c>
      <c r="M61" s="178">
        <v>3</v>
      </c>
      <c r="N61" s="178">
        <v>2</v>
      </c>
      <c r="O61" s="178">
        <v>5</v>
      </c>
      <c r="P61" s="191">
        <f>IF(D61=4,VLOOKUP(C61,Szakmaszorzók!$B$2:$D$25,2,0),VLOOKUP(C61,Szakmaszorzók!$B$2:$D$25,3,0))</f>
        <v>2.42</v>
      </c>
      <c r="Q61" s="192">
        <f>'Támogatás szorzat tényezői'!$C$2*'Támogatás szorzat tényezői'!$C$3*N61*P61</f>
        <v>871200</v>
      </c>
      <c r="R61" s="192">
        <f>'Támogatás szorzat tényezői'!$C$2*'Támogatás szorzat tényezői'!$C$3*P61</f>
        <v>435600</v>
      </c>
    </row>
    <row r="62" spans="1:18" x14ac:dyDescent="0.25">
      <c r="A62" s="178">
        <v>140</v>
      </c>
      <c r="B62" s="287" t="str">
        <f t="shared" si="5"/>
        <v>Gépjármű mechatronikus</v>
      </c>
      <c r="C62" s="178" t="s">
        <v>1287</v>
      </c>
      <c r="D62" s="178">
        <v>4</v>
      </c>
      <c r="E62" s="178">
        <v>716</v>
      </c>
      <c r="F62" s="178">
        <v>19</v>
      </c>
      <c r="G62" s="178">
        <v>5</v>
      </c>
      <c r="H62" s="178" t="str">
        <f t="shared" si="6"/>
        <v>0716</v>
      </c>
      <c r="I62" s="178">
        <f t="shared" si="7"/>
        <v>19</v>
      </c>
      <c r="J62" s="178" t="str">
        <f t="shared" si="8"/>
        <v>05</v>
      </c>
      <c r="K62" s="178" t="str">
        <f t="shared" si="9"/>
        <v>4 0716 19 05</v>
      </c>
      <c r="L62" s="177" t="s">
        <v>139</v>
      </c>
      <c r="M62" s="178">
        <v>3</v>
      </c>
      <c r="N62" s="178">
        <v>2</v>
      </c>
      <c r="O62" s="178">
        <v>5</v>
      </c>
      <c r="P62" s="191">
        <f>IF(D62=4,VLOOKUP(C62,Szakmaszorzók!$B$2:$D$25,2,0),VLOOKUP(C62,Szakmaszorzók!$B$2:$D$25,3,0))</f>
        <v>2.85</v>
      </c>
      <c r="Q62" s="192">
        <f>'Támogatás szorzat tényezői'!$C$2*'Támogatás szorzat tényezői'!$C$3*N62*P62</f>
        <v>1026000</v>
      </c>
      <c r="R62" s="192">
        <f>'Támogatás szorzat tényezői'!$C$2*'Támogatás szorzat tényezői'!$C$3*P62</f>
        <v>513000</v>
      </c>
    </row>
    <row r="63" spans="1:18" x14ac:dyDescent="0.25">
      <c r="A63" s="178">
        <v>139</v>
      </c>
      <c r="B63" s="287" t="str">
        <f t="shared" si="5"/>
        <v>Gépjármű-mechatronikai technikus</v>
      </c>
      <c r="C63" s="178" t="s">
        <v>1287</v>
      </c>
      <c r="D63" s="178">
        <v>5</v>
      </c>
      <c r="E63" s="178">
        <v>716</v>
      </c>
      <c r="F63" s="178">
        <v>19</v>
      </c>
      <c r="G63" s="178">
        <v>4</v>
      </c>
      <c r="H63" s="178" t="str">
        <f t="shared" si="6"/>
        <v>0716</v>
      </c>
      <c r="I63" s="178">
        <f t="shared" si="7"/>
        <v>19</v>
      </c>
      <c r="J63" s="178" t="str">
        <f t="shared" si="8"/>
        <v>04</v>
      </c>
      <c r="K63" s="178" t="str">
        <f t="shared" si="9"/>
        <v>5 0716 19 04</v>
      </c>
      <c r="L63" s="177" t="s">
        <v>1336</v>
      </c>
      <c r="M63" s="178">
        <v>5</v>
      </c>
      <c r="N63" s="178">
        <v>2</v>
      </c>
      <c r="O63" s="178">
        <v>6</v>
      </c>
      <c r="P63" s="191">
        <f>IF(D63=4,VLOOKUP(C63,Szakmaszorzók!$B$2:$D$25,2,0),VLOOKUP(C63,Szakmaszorzók!$B$2:$D$25,3,0))</f>
        <v>2.85</v>
      </c>
      <c r="Q63" s="192">
        <f>'Támogatás szorzat tényezői'!$C$2*'Támogatás szorzat tényezői'!$C$3*N63*P63</f>
        <v>1026000</v>
      </c>
      <c r="R63" s="192">
        <f>'Támogatás szorzat tényezői'!$C$2*'Támogatás szorzat tényezői'!$C$3*P63</f>
        <v>513000</v>
      </c>
    </row>
    <row r="64" spans="1:18" x14ac:dyDescent="0.25">
      <c r="A64" s="178">
        <v>118</v>
      </c>
      <c r="B64" s="287" t="str">
        <f t="shared" si="5"/>
        <v>Grafikus</v>
      </c>
      <c r="C64" s="178" t="s">
        <v>1298</v>
      </c>
      <c r="D64" s="178">
        <v>5</v>
      </c>
      <c r="E64" s="178">
        <v>213</v>
      </c>
      <c r="F64" s="178">
        <v>16</v>
      </c>
      <c r="G64" s="178">
        <v>9</v>
      </c>
      <c r="H64" s="178" t="str">
        <f t="shared" si="6"/>
        <v>0213</v>
      </c>
      <c r="I64" s="178">
        <f t="shared" si="7"/>
        <v>16</v>
      </c>
      <c r="J64" s="178" t="str">
        <f t="shared" si="8"/>
        <v>09</v>
      </c>
      <c r="K64" s="178" t="str">
        <f t="shared" si="9"/>
        <v>5 0213 16 09</v>
      </c>
      <c r="L64" s="177" t="s">
        <v>144</v>
      </c>
      <c r="M64" s="178">
        <v>5</v>
      </c>
      <c r="N64" s="178">
        <v>2</v>
      </c>
      <c r="O64" s="178">
        <v>5</v>
      </c>
      <c r="P64" s="191">
        <f>IF(D64=4,VLOOKUP(C64,Szakmaszorzók!$B$2:$D$25,2,0),VLOOKUP(C64,Szakmaszorzók!$B$2:$D$25,3,0))</f>
        <v>2.42</v>
      </c>
      <c r="Q64" s="192">
        <f>'Támogatás szorzat tényezői'!$C$2*'Támogatás szorzat tényezői'!$C$3*N64*P64</f>
        <v>871200</v>
      </c>
      <c r="R64" s="192">
        <f>'Támogatás szorzat tényezői'!$C$2*'Támogatás szorzat tényezői'!$C$3*P64</f>
        <v>435600</v>
      </c>
    </row>
    <row r="65" spans="1:18" x14ac:dyDescent="0.25">
      <c r="A65" s="178">
        <v>169</v>
      </c>
      <c r="B65" s="287" t="str">
        <f t="shared" si="5"/>
        <v>Gumiipari technikus</v>
      </c>
      <c r="C65" s="178" t="s">
        <v>1280</v>
      </c>
      <c r="D65" s="178">
        <v>5</v>
      </c>
      <c r="E65" s="178">
        <v>722</v>
      </c>
      <c r="F65" s="178">
        <v>24</v>
      </c>
      <c r="G65" s="178">
        <v>2</v>
      </c>
      <c r="H65" s="178" t="str">
        <f t="shared" si="6"/>
        <v>0722</v>
      </c>
      <c r="I65" s="178">
        <f t="shared" si="7"/>
        <v>24</v>
      </c>
      <c r="J65" s="178" t="str">
        <f t="shared" si="8"/>
        <v>02</v>
      </c>
      <c r="K65" s="178" t="str">
        <f t="shared" si="9"/>
        <v>5 0722 24 02</v>
      </c>
      <c r="L65" s="177" t="s">
        <v>145</v>
      </c>
      <c r="M65" s="178">
        <v>5</v>
      </c>
      <c r="N65" s="178">
        <v>2</v>
      </c>
      <c r="O65" s="178">
        <v>6</v>
      </c>
      <c r="P65" s="191">
        <f>IF(D65=4,VLOOKUP(C65,Szakmaszorzók!$B$2:$D$25,2,0),VLOOKUP(C65,Szakmaszorzók!$B$2:$D$25,3,0))</f>
        <v>2.85</v>
      </c>
      <c r="Q65" s="192">
        <f>'Támogatás szorzat tényezői'!$C$2*'Támogatás szorzat tényezői'!$C$3*N65*P65</f>
        <v>1026000</v>
      </c>
      <c r="R65" s="192">
        <f>'Támogatás szorzat tényezői'!$C$2*'Támogatás szorzat tényezői'!$C$3*P65</f>
        <v>513000</v>
      </c>
    </row>
    <row r="66" spans="1:18" x14ac:dyDescent="0.25">
      <c r="A66" s="178">
        <v>16</v>
      </c>
      <c r="B66" s="287" t="str">
        <f t="shared" si="5"/>
        <v>Gyakorló ápoló</v>
      </c>
      <c r="C66" s="178" t="s">
        <v>1285</v>
      </c>
      <c r="D66" s="178">
        <v>5</v>
      </c>
      <c r="E66" s="178">
        <v>913</v>
      </c>
      <c r="F66" s="178">
        <v>3</v>
      </c>
      <c r="G66" s="178">
        <v>4</v>
      </c>
      <c r="H66" s="178" t="str">
        <f t="shared" si="6"/>
        <v>0913</v>
      </c>
      <c r="I66" s="178" t="str">
        <f t="shared" si="7"/>
        <v>03</v>
      </c>
      <c r="J66" s="178" t="str">
        <f t="shared" si="8"/>
        <v>04</v>
      </c>
      <c r="K66" s="178" t="str">
        <f t="shared" si="9"/>
        <v>5 0913 03 04</v>
      </c>
      <c r="L66" s="177" t="s">
        <v>148</v>
      </c>
      <c r="M66" s="178">
        <v>5</v>
      </c>
      <c r="N66" s="178">
        <v>2</v>
      </c>
      <c r="O66" s="178">
        <v>5</v>
      </c>
      <c r="P66" s="191">
        <f>IF(D66=4,VLOOKUP(C66,Szakmaszorzók!$B$2:$D$25,2,0),VLOOKUP(C66,Szakmaszorzók!$B$2:$D$25,3,0))</f>
        <v>2.2000000000000002</v>
      </c>
      <c r="Q66" s="192">
        <f>'Támogatás szorzat tényezői'!$C$2*'Támogatás szorzat tényezői'!$C$3*N66*P66</f>
        <v>792000.00000000012</v>
      </c>
      <c r="R66" s="192">
        <f>'Támogatás szorzat tényezői'!$C$2*'Támogatás szorzat tényezői'!$C$3*P66</f>
        <v>396000.00000000006</v>
      </c>
    </row>
    <row r="67" spans="1:18" x14ac:dyDescent="0.25">
      <c r="A67" s="178">
        <v>141</v>
      </c>
      <c r="B67" s="287" t="str">
        <f t="shared" si="5"/>
        <v>Gyártósori gépbeállító</v>
      </c>
      <c r="C67" s="178" t="s">
        <v>1287</v>
      </c>
      <c r="D67" s="178">
        <v>4</v>
      </c>
      <c r="E67" s="178">
        <v>715</v>
      </c>
      <c r="F67" s="178">
        <v>19</v>
      </c>
      <c r="G67" s="178">
        <v>6</v>
      </c>
      <c r="H67" s="178" t="str">
        <f t="shared" si="6"/>
        <v>0715</v>
      </c>
      <c r="I67" s="178">
        <f t="shared" si="7"/>
        <v>19</v>
      </c>
      <c r="J67" s="178" t="str">
        <f t="shared" si="8"/>
        <v>06</v>
      </c>
      <c r="K67" s="178" t="str">
        <f t="shared" si="9"/>
        <v>4 0715 19 06</v>
      </c>
      <c r="L67" s="177" t="s">
        <v>153</v>
      </c>
      <c r="M67" s="178">
        <v>3</v>
      </c>
      <c r="N67" s="178">
        <v>2</v>
      </c>
      <c r="O67" s="178">
        <v>4</v>
      </c>
      <c r="P67" s="191">
        <f>IF(D67=4,VLOOKUP(C67,Szakmaszorzók!$B$2:$D$25,2,0),VLOOKUP(C67,Szakmaszorzók!$B$2:$D$25,3,0))</f>
        <v>2.85</v>
      </c>
      <c r="Q67" s="192">
        <f>'Támogatás szorzat tényezői'!$C$2*'Támogatás szorzat tényezői'!$C$3*N67*P67</f>
        <v>1026000</v>
      </c>
      <c r="R67" s="192">
        <f>'Támogatás szorzat tényezői'!$C$2*'Támogatás szorzat tényezői'!$C$3*P67</f>
        <v>513000</v>
      </c>
    </row>
    <row r="68" spans="1:18" x14ac:dyDescent="0.25">
      <c r="A68" s="178">
        <v>154</v>
      </c>
      <c r="B68" s="287" t="str">
        <f t="shared" si="5"/>
        <v>Gyermek- és ifjúsági felügyelő</v>
      </c>
      <c r="C68" s="178" t="s">
        <v>1338</v>
      </c>
      <c r="D68" s="178">
        <v>4</v>
      </c>
      <c r="E68" s="178">
        <v>922</v>
      </c>
      <c r="F68" s="178">
        <v>22</v>
      </c>
      <c r="G68" s="178">
        <v>1</v>
      </c>
      <c r="H68" s="178" t="str">
        <f t="shared" si="6"/>
        <v>0922</v>
      </c>
      <c r="I68" s="178">
        <f t="shared" si="7"/>
        <v>22</v>
      </c>
      <c r="J68" s="178" t="str">
        <f t="shared" si="8"/>
        <v>01</v>
      </c>
      <c r="K68" s="178" t="str">
        <f t="shared" si="9"/>
        <v>4 0922 22 01</v>
      </c>
      <c r="L68" s="177" t="s">
        <v>1337</v>
      </c>
      <c r="M68" s="178">
        <v>3</v>
      </c>
      <c r="N68" s="178">
        <v>2</v>
      </c>
      <c r="O68" s="178">
        <v>3</v>
      </c>
      <c r="P68" s="191">
        <f>IF(D68=4,VLOOKUP(C68,Szakmaszorzók!$B$2:$D$25,2,0),VLOOKUP(C68,Szakmaszorzók!$B$2:$D$25,3,0))</f>
        <v>2.2000000000000002</v>
      </c>
      <c r="Q68" s="192">
        <f>'Támogatás szorzat tényezői'!$C$2*'Támogatás szorzat tényezői'!$C$3*N68*P68</f>
        <v>792000.00000000012</v>
      </c>
      <c r="R68" s="192">
        <f>'Támogatás szorzat tényezői'!$C$2*'Támogatás szorzat tényezői'!$C$3*P68</f>
        <v>396000.00000000006</v>
      </c>
    </row>
    <row r="69" spans="1:18" x14ac:dyDescent="0.25">
      <c r="A69" s="178">
        <v>170</v>
      </c>
      <c r="B69" s="287" t="str">
        <f t="shared" si="5"/>
        <v>Gyógyszer-készítmény-gyártó</v>
      </c>
      <c r="C69" s="178" t="s">
        <v>1280</v>
      </c>
      <c r="D69" s="178">
        <v>4</v>
      </c>
      <c r="E69" s="178">
        <v>711</v>
      </c>
      <c r="F69" s="178">
        <v>24</v>
      </c>
      <c r="G69" s="178">
        <v>3</v>
      </c>
      <c r="H69" s="178" t="str">
        <f t="shared" si="6"/>
        <v>0711</v>
      </c>
      <c r="I69" s="178">
        <f t="shared" si="7"/>
        <v>24</v>
      </c>
      <c r="J69" s="178" t="str">
        <f t="shared" si="8"/>
        <v>03</v>
      </c>
      <c r="K69" s="178" t="str">
        <f t="shared" si="9"/>
        <v>4 0711 24 03</v>
      </c>
      <c r="L69" s="177" t="s">
        <v>1984</v>
      </c>
      <c r="M69" s="178">
        <v>3</v>
      </c>
      <c r="N69" s="178">
        <v>2</v>
      </c>
      <c r="O69" s="178">
        <v>5</v>
      </c>
      <c r="P69" s="191">
        <f>IF(D69=4,VLOOKUP(C69,Szakmaszorzók!$B$2:$D$25,2,0),VLOOKUP(C69,Szakmaszorzók!$B$2:$D$25,3,0))</f>
        <v>2.42</v>
      </c>
      <c r="Q69" s="192">
        <f>'Támogatás szorzat tényezői'!$C$2*'Támogatás szorzat tényezői'!$C$3*N69*P69</f>
        <v>871200</v>
      </c>
      <c r="R69" s="192">
        <f>'Támogatás szorzat tényezői'!$C$2*'Támogatás szorzat tényezői'!$C$3*P69</f>
        <v>435600</v>
      </c>
    </row>
    <row r="70" spans="1:18" x14ac:dyDescent="0.25">
      <c r="A70" s="178">
        <v>102</v>
      </c>
      <c r="B70" s="287" t="str">
        <f t="shared" si="5"/>
        <v>Hajózási technikus</v>
      </c>
      <c r="C70" s="178" t="s">
        <v>1340</v>
      </c>
      <c r="D70" s="178">
        <v>5</v>
      </c>
      <c r="E70" s="178">
        <v>1041</v>
      </c>
      <c r="F70" s="178">
        <v>15</v>
      </c>
      <c r="G70" s="178">
        <v>1</v>
      </c>
      <c r="H70" s="178">
        <f t="shared" si="6"/>
        <v>1041</v>
      </c>
      <c r="I70" s="178">
        <f t="shared" si="7"/>
        <v>15</v>
      </c>
      <c r="J70" s="178" t="str">
        <f t="shared" si="8"/>
        <v>01</v>
      </c>
      <c r="K70" s="178" t="str">
        <f t="shared" si="9"/>
        <v>5 1041 15 01</v>
      </c>
      <c r="L70" s="177" t="s">
        <v>160</v>
      </c>
      <c r="M70" s="178">
        <v>5</v>
      </c>
      <c r="N70" s="178">
        <v>2</v>
      </c>
      <c r="O70" s="178">
        <v>5</v>
      </c>
      <c r="P70" s="191">
        <f>IF(D70=4,VLOOKUP(C70,Szakmaszorzók!$B$2:$D$25,2,0),VLOOKUP(C70,Szakmaszorzók!$B$2:$D$25,3,0))</f>
        <v>2.2000000000000002</v>
      </c>
      <c r="Q70" s="192">
        <f>'Támogatás szorzat tényezői'!$C$2*'Támogatás szorzat tényezői'!$C$3*N70*P70</f>
        <v>792000.00000000012</v>
      </c>
      <c r="R70" s="192">
        <f>'Támogatás szorzat tényezői'!$C$2*'Támogatás szorzat tényezői'!$C$3*P70</f>
        <v>396000.00000000006</v>
      </c>
    </row>
    <row r="71" spans="1:18" x14ac:dyDescent="0.25">
      <c r="A71" s="178">
        <v>122</v>
      </c>
      <c r="B71" s="287" t="str">
        <f t="shared" ref="B71:B102" si="10">L71</f>
        <v>Hangtechnikus</v>
      </c>
      <c r="C71" s="178" t="s">
        <v>1298</v>
      </c>
      <c r="D71" s="178">
        <v>5</v>
      </c>
      <c r="E71" s="178">
        <v>211</v>
      </c>
      <c r="F71" s="178">
        <v>16</v>
      </c>
      <c r="G71" s="178">
        <v>13</v>
      </c>
      <c r="H71" s="178" t="str">
        <f t="shared" ref="H71:H102" si="11">IF(E71&lt;1000,"0"&amp;E71,E71)</f>
        <v>0211</v>
      </c>
      <c r="I71" s="178">
        <f t="shared" ref="I71:I102" si="12">IF(F71&lt;10,"0"&amp;F71,F71)</f>
        <v>16</v>
      </c>
      <c r="J71" s="178">
        <f t="shared" ref="J71:J102" si="13">IF(G71&lt;10,"0"&amp;G71,G71)</f>
        <v>13</v>
      </c>
      <c r="K71" s="178" t="str">
        <f t="shared" ref="K71:K102" si="14">D71&amp;" "&amp;H71&amp;" "&amp;I71&amp;" "&amp;J71</f>
        <v>5 0211 16 13</v>
      </c>
      <c r="L71" s="177" t="s">
        <v>1341</v>
      </c>
      <c r="M71" s="178">
        <v>5</v>
      </c>
      <c r="N71" s="178">
        <v>2</v>
      </c>
      <c r="O71" s="178">
        <v>5</v>
      </c>
      <c r="P71" s="191">
        <f>IF(D71=4,VLOOKUP(C71,Szakmaszorzók!$B$2:$D$25,2,0),VLOOKUP(C71,Szakmaszorzók!$B$2:$D$25,3,0))</f>
        <v>2.42</v>
      </c>
      <c r="Q71" s="192">
        <f>'Támogatás szorzat tényezői'!$C$2*'Támogatás szorzat tényezői'!$C$3*N71*P71</f>
        <v>871200</v>
      </c>
      <c r="R71" s="192">
        <f>'Támogatás szorzat tényezői'!$C$2*'Támogatás szorzat tényezői'!$C$3*P71</f>
        <v>435600</v>
      </c>
    </row>
    <row r="72" spans="1:18" x14ac:dyDescent="0.25">
      <c r="A72" s="178">
        <v>80</v>
      </c>
      <c r="B72" s="287" t="str">
        <f t="shared" si="10"/>
        <v>Hegesztő</v>
      </c>
      <c r="C72" s="178" t="s">
        <v>1301</v>
      </c>
      <c r="D72" s="178">
        <v>4</v>
      </c>
      <c r="E72" s="178">
        <v>715</v>
      </c>
      <c r="F72" s="178">
        <v>10</v>
      </c>
      <c r="G72" s="178">
        <v>8</v>
      </c>
      <c r="H72" s="178" t="str">
        <f t="shared" si="11"/>
        <v>0715</v>
      </c>
      <c r="I72" s="178">
        <f t="shared" si="12"/>
        <v>10</v>
      </c>
      <c r="J72" s="178" t="str">
        <f t="shared" si="13"/>
        <v>08</v>
      </c>
      <c r="K72" s="178" t="str">
        <f t="shared" si="14"/>
        <v>4 0715 10 08</v>
      </c>
      <c r="L72" s="177" t="s">
        <v>163</v>
      </c>
      <c r="M72" s="178">
        <v>3</v>
      </c>
      <c r="N72" s="178">
        <v>2</v>
      </c>
      <c r="O72" s="178">
        <v>4</v>
      </c>
      <c r="P72" s="191">
        <f>IF(D72=4,VLOOKUP(C72,Szakmaszorzók!$B$2:$D$25,2,0),VLOOKUP(C72,Szakmaszorzók!$B$2:$D$25,3,0))</f>
        <v>2.42</v>
      </c>
      <c r="Q72" s="192">
        <f>'Támogatás szorzat tényezői'!$C$2*'Támogatás szorzat tényezői'!$C$3*N72*P72</f>
        <v>871200</v>
      </c>
      <c r="R72" s="192">
        <f>'Támogatás szorzat tényezői'!$C$2*'Támogatás szorzat tényezői'!$C$3*P72</f>
        <v>435600</v>
      </c>
    </row>
    <row r="73" spans="1:18" x14ac:dyDescent="0.25">
      <c r="A73" s="178">
        <v>37</v>
      </c>
      <c r="B73" s="287" t="str">
        <f t="shared" si="10"/>
        <v>Hentes és húskészítmény-készítő</v>
      </c>
      <c r="C73" s="178" t="s">
        <v>1296</v>
      </c>
      <c r="D73" s="178">
        <v>4</v>
      </c>
      <c r="E73" s="178">
        <v>721</v>
      </c>
      <c r="F73" s="178">
        <v>5</v>
      </c>
      <c r="G73" s="178">
        <v>8</v>
      </c>
      <c r="H73" s="178" t="str">
        <f t="shared" si="11"/>
        <v>0721</v>
      </c>
      <c r="I73" s="178" t="str">
        <f t="shared" si="12"/>
        <v>05</v>
      </c>
      <c r="J73" s="178" t="str">
        <f t="shared" si="13"/>
        <v>08</v>
      </c>
      <c r="K73" s="178" t="str">
        <f t="shared" si="14"/>
        <v>4 0721 05 08</v>
      </c>
      <c r="L73" s="177" t="s">
        <v>1343</v>
      </c>
      <c r="M73" s="178">
        <v>3</v>
      </c>
      <c r="N73" s="178">
        <v>2</v>
      </c>
      <c r="O73" s="178">
        <v>4</v>
      </c>
      <c r="P73" s="191">
        <f>IF(D73=4,VLOOKUP(C73,Szakmaszorzók!$B$2:$D$25,2,0),VLOOKUP(C73,Szakmaszorzók!$B$2:$D$25,3,0))</f>
        <v>2.2000000000000002</v>
      </c>
      <c r="Q73" s="192">
        <f>'Támogatás szorzat tényezői'!$C$2*'Támogatás szorzat tényezői'!$C$3*N73*P73</f>
        <v>792000.00000000012</v>
      </c>
      <c r="R73" s="192">
        <f>'Támogatás szorzat tényezői'!$C$2*'Támogatás szorzat tényezői'!$C$3*P73</f>
        <v>396000.00000000006</v>
      </c>
    </row>
    <row r="74" spans="1:18" x14ac:dyDescent="0.25">
      <c r="A74" s="178">
        <v>53</v>
      </c>
      <c r="B74" s="287" t="str">
        <f t="shared" si="10"/>
        <v>Hídépítő és -fenntartó technikus</v>
      </c>
      <c r="C74" s="178" t="s">
        <v>1282</v>
      </c>
      <c r="D74" s="178">
        <v>5</v>
      </c>
      <c r="E74" s="178">
        <v>732</v>
      </c>
      <c r="F74" s="178">
        <v>6</v>
      </c>
      <c r="G74" s="178">
        <v>6</v>
      </c>
      <c r="H74" s="178" t="str">
        <f t="shared" si="11"/>
        <v>0732</v>
      </c>
      <c r="I74" s="178" t="str">
        <f t="shared" si="12"/>
        <v>06</v>
      </c>
      <c r="J74" s="178" t="str">
        <f t="shared" si="13"/>
        <v>06</v>
      </c>
      <c r="K74" s="178" t="str">
        <f t="shared" si="14"/>
        <v>5 0732 06 06</v>
      </c>
      <c r="L74" s="177" t="s">
        <v>164</v>
      </c>
      <c r="M74" s="178">
        <v>5</v>
      </c>
      <c r="N74" s="178">
        <v>2</v>
      </c>
      <c r="O74" s="178">
        <v>5</v>
      </c>
      <c r="P74" s="191">
        <f>IF(D74=4,VLOOKUP(C74,Szakmaszorzók!$B$2:$D$25,2,0),VLOOKUP(C74,Szakmaszorzók!$B$2:$D$25,3,0))</f>
        <v>2.42</v>
      </c>
      <c r="Q74" s="192">
        <f>'Támogatás szorzat tényezői'!$C$2*'Támogatás szorzat tényezői'!$C$3*N74*P74</f>
        <v>871200</v>
      </c>
      <c r="R74" s="192">
        <f>'Támogatás szorzat tényezői'!$C$2*'Támogatás szorzat tényezői'!$C$3*P74</f>
        <v>435600</v>
      </c>
    </row>
    <row r="75" spans="1:18" x14ac:dyDescent="0.25">
      <c r="A75" s="178">
        <v>89</v>
      </c>
      <c r="B75" s="287" t="str">
        <f t="shared" si="10"/>
        <v>Honvéd altiszt</v>
      </c>
      <c r="C75" s="178" t="s">
        <v>1321</v>
      </c>
      <c r="D75" s="178">
        <v>5</v>
      </c>
      <c r="E75" s="178">
        <v>1031</v>
      </c>
      <c r="F75" s="178">
        <v>11</v>
      </c>
      <c r="G75" s="178">
        <v>4</v>
      </c>
      <c r="H75" s="178">
        <f t="shared" si="11"/>
        <v>1031</v>
      </c>
      <c r="I75" s="178">
        <f t="shared" si="12"/>
        <v>11</v>
      </c>
      <c r="J75" s="178" t="str">
        <f t="shared" si="13"/>
        <v>04</v>
      </c>
      <c r="K75" s="178" t="str">
        <f t="shared" si="14"/>
        <v>5 1031 11 04</v>
      </c>
      <c r="L75" s="177" t="s">
        <v>1344</v>
      </c>
      <c r="M75" s="178" t="s">
        <v>374</v>
      </c>
      <c r="N75" s="178">
        <v>2</v>
      </c>
      <c r="O75" s="178">
        <v>6</v>
      </c>
      <c r="P75" s="191">
        <f>IF(D75=4,VLOOKUP(C75,Szakmaszorzók!$B$2:$D$25,2,0),VLOOKUP(C75,Szakmaszorzók!$B$2:$D$25,3,0))</f>
        <v>2.85</v>
      </c>
      <c r="Q75" s="192">
        <f>'Támogatás szorzat tényezői'!$C$2*'Támogatás szorzat tényezői'!$C$3*N75*P75</f>
        <v>1026000</v>
      </c>
      <c r="R75" s="192">
        <f>'Támogatás szorzat tényezői'!$C$2*'Támogatás szorzat tényezői'!$C$3*P75</f>
        <v>513000</v>
      </c>
    </row>
    <row r="76" spans="1:18" x14ac:dyDescent="0.25">
      <c r="A76" s="178">
        <v>90</v>
      </c>
      <c r="B76" s="287" t="str">
        <f t="shared" si="10"/>
        <v>Honvéd kadét</v>
      </c>
      <c r="C76" s="178" t="s">
        <v>1321</v>
      </c>
      <c r="D76" s="178">
        <v>5</v>
      </c>
      <c r="E76" s="178">
        <v>1031</v>
      </c>
      <c r="F76" s="178">
        <v>11</v>
      </c>
      <c r="G76" s="178">
        <v>5</v>
      </c>
      <c r="H76" s="178">
        <f t="shared" si="11"/>
        <v>1031</v>
      </c>
      <c r="I76" s="178">
        <f t="shared" si="12"/>
        <v>11</v>
      </c>
      <c r="J76" s="178" t="str">
        <f t="shared" si="13"/>
        <v>05</v>
      </c>
      <c r="K76" s="178" t="str">
        <f t="shared" si="14"/>
        <v>5 1031 11 05</v>
      </c>
      <c r="L76" s="177" t="s">
        <v>1345</v>
      </c>
      <c r="M76" s="178">
        <v>5</v>
      </c>
      <c r="N76" s="178">
        <v>2</v>
      </c>
      <c r="O76" s="178">
        <v>7</v>
      </c>
      <c r="P76" s="191">
        <f>IF(D76=4,VLOOKUP(C76,Szakmaszorzók!$B$2:$D$25,2,0),VLOOKUP(C76,Szakmaszorzók!$B$2:$D$25,3,0))</f>
        <v>2.85</v>
      </c>
      <c r="Q76" s="192">
        <f>'Támogatás szorzat tényezői'!$C$2*'Támogatás szorzat tényezői'!$C$3*N76*P76</f>
        <v>1026000</v>
      </c>
      <c r="R76" s="192">
        <f>'Támogatás szorzat tényezői'!$C$2*'Támogatás szorzat tényezői'!$C$3*P76</f>
        <v>513000</v>
      </c>
    </row>
    <row r="77" spans="1:18" x14ac:dyDescent="0.25">
      <c r="A77" s="178">
        <v>98</v>
      </c>
      <c r="B77" s="287" t="str">
        <f t="shared" si="10"/>
        <v>Hulladék-feldolgozó munkatárs</v>
      </c>
      <c r="C77" s="178" t="s">
        <v>1347</v>
      </c>
      <c r="D77" s="178">
        <v>4</v>
      </c>
      <c r="E77" s="178">
        <v>712</v>
      </c>
      <c r="F77" s="178">
        <v>14</v>
      </c>
      <c r="G77" s="178">
        <v>1</v>
      </c>
      <c r="H77" s="178" t="str">
        <f t="shared" si="11"/>
        <v>0712</v>
      </c>
      <c r="I77" s="178">
        <f t="shared" si="12"/>
        <v>14</v>
      </c>
      <c r="J77" s="178" t="str">
        <f t="shared" si="13"/>
        <v>01</v>
      </c>
      <c r="K77" s="178" t="str">
        <f t="shared" si="14"/>
        <v>4 0712 14 01</v>
      </c>
      <c r="L77" s="177" t="s">
        <v>1980</v>
      </c>
      <c r="M77" s="178">
        <v>3</v>
      </c>
      <c r="N77" s="178">
        <v>2</v>
      </c>
      <c r="O77" s="178">
        <v>4</v>
      </c>
      <c r="P77" s="191">
        <f>IF(D77=4,VLOOKUP(C77,Szakmaszorzók!$B$2:$D$25,2,0),VLOOKUP(C77,Szakmaszorzók!$B$2:$D$25,3,0))</f>
        <v>2.42</v>
      </c>
      <c r="Q77" s="192">
        <f>'Támogatás szorzat tényezői'!$C$2*'Támogatás szorzat tényezői'!$C$3*N77*P77</f>
        <v>871200</v>
      </c>
      <c r="R77" s="192">
        <f>'Támogatás szorzat tényezői'!$C$2*'Támogatás szorzat tényezői'!$C$3*P77</f>
        <v>435600</v>
      </c>
    </row>
    <row r="78" spans="1:18" x14ac:dyDescent="0.25">
      <c r="A78" s="178">
        <v>38</v>
      </c>
      <c r="B78" s="287" t="str">
        <f t="shared" si="10"/>
        <v>Húsipari technikus</v>
      </c>
      <c r="C78" s="178" t="s">
        <v>1296</v>
      </c>
      <c r="D78" s="178">
        <v>5</v>
      </c>
      <c r="E78" s="178">
        <v>721</v>
      </c>
      <c r="F78" s="178">
        <v>5</v>
      </c>
      <c r="G78" s="178">
        <v>9</v>
      </c>
      <c r="H78" s="178" t="str">
        <f t="shared" si="11"/>
        <v>0721</v>
      </c>
      <c r="I78" s="178" t="str">
        <f t="shared" si="12"/>
        <v>05</v>
      </c>
      <c r="J78" s="178" t="str">
        <f t="shared" si="13"/>
        <v>09</v>
      </c>
      <c r="K78" s="178" t="str">
        <f t="shared" si="14"/>
        <v>5 0721 05 09</v>
      </c>
      <c r="L78" s="177" t="s">
        <v>1348</v>
      </c>
      <c r="M78" s="178">
        <v>5</v>
      </c>
      <c r="N78" s="178">
        <v>2</v>
      </c>
      <c r="O78" s="178">
        <v>6</v>
      </c>
      <c r="P78" s="191">
        <f>IF(D78=4,VLOOKUP(C78,Szakmaszorzók!$B$2:$D$25,2,0),VLOOKUP(C78,Szakmaszorzók!$B$2:$D$25,3,0))</f>
        <v>2.2000000000000002</v>
      </c>
      <c r="Q78" s="192">
        <f>'Támogatás szorzat tényezői'!$C$2*'Támogatás szorzat tényezői'!$C$3*N78*P78</f>
        <v>792000.00000000012</v>
      </c>
      <c r="R78" s="192">
        <f>'Támogatás szorzat tényezői'!$C$2*'Támogatás szorzat tényezői'!$C$3*P78</f>
        <v>396000.00000000006</v>
      </c>
    </row>
    <row r="79" spans="1:18" x14ac:dyDescent="0.25">
      <c r="A79" s="178">
        <v>65</v>
      </c>
      <c r="B79" s="287" t="str">
        <f t="shared" si="10"/>
        <v>Hűtő- és szellőzésrendszer-szerelő</v>
      </c>
      <c r="C79" s="178" t="s">
        <v>1315</v>
      </c>
      <c r="D79" s="178">
        <v>4</v>
      </c>
      <c r="E79" s="178">
        <v>732</v>
      </c>
      <c r="F79" s="178">
        <v>7</v>
      </c>
      <c r="G79" s="178">
        <v>2</v>
      </c>
      <c r="H79" s="178" t="str">
        <f t="shared" si="11"/>
        <v>0732</v>
      </c>
      <c r="I79" s="178" t="str">
        <f t="shared" si="12"/>
        <v>07</v>
      </c>
      <c r="J79" s="178" t="str">
        <f t="shared" si="13"/>
        <v>02</v>
      </c>
      <c r="K79" s="178" t="str">
        <f t="shared" si="14"/>
        <v>4 0732 07 02</v>
      </c>
      <c r="L79" s="177" t="s">
        <v>1349</v>
      </c>
      <c r="M79" s="178">
        <v>3</v>
      </c>
      <c r="N79" s="178">
        <v>2</v>
      </c>
      <c r="O79" s="178">
        <v>5</v>
      </c>
      <c r="P79" s="191">
        <f>IF(D79=4,VLOOKUP(C79,Szakmaszorzók!$B$2:$D$25,2,0),VLOOKUP(C79,Szakmaszorzók!$B$2:$D$25,3,0))</f>
        <v>2.42</v>
      </c>
      <c r="Q79" s="192">
        <f>'Támogatás szorzat tényezői'!$C$2*'Támogatás szorzat tényezői'!$C$3*N79*P79</f>
        <v>871200</v>
      </c>
      <c r="R79" s="192">
        <f>'Támogatás szorzat tényezői'!$C$2*'Támogatás szorzat tényezői'!$C$3*P79</f>
        <v>435600</v>
      </c>
    </row>
    <row r="80" spans="1:18" x14ac:dyDescent="0.25">
      <c r="A80" s="178">
        <v>95</v>
      </c>
      <c r="B80" s="287" t="str">
        <f t="shared" si="10"/>
        <v>Idegen nyelvű ipari és kereskedelmi technikus</v>
      </c>
      <c r="C80" s="178" t="s">
        <v>1351</v>
      </c>
      <c r="D80" s="178">
        <v>5</v>
      </c>
      <c r="E80" s="178">
        <v>417</v>
      </c>
      <c r="F80" s="178">
        <v>13</v>
      </c>
      <c r="G80" s="178">
        <v>1</v>
      </c>
      <c r="H80" s="178" t="str">
        <f t="shared" si="11"/>
        <v>0417</v>
      </c>
      <c r="I80" s="178">
        <f t="shared" si="12"/>
        <v>13</v>
      </c>
      <c r="J80" s="178" t="str">
        <f t="shared" si="13"/>
        <v>01</v>
      </c>
      <c r="K80" s="178" t="str">
        <f t="shared" si="14"/>
        <v>5 0417 13 01</v>
      </c>
      <c r="L80" s="177" t="s">
        <v>1350</v>
      </c>
      <c r="M80" s="178">
        <v>5</v>
      </c>
      <c r="N80" s="178">
        <v>2</v>
      </c>
      <c r="O80" s="178">
        <v>6</v>
      </c>
      <c r="P80" s="191">
        <f>IF(D80=4,VLOOKUP(C80,Szakmaszorzók!$B$2:$D$25,2,0),VLOOKUP(C80,Szakmaszorzók!$B$2:$D$25,3,0))</f>
        <v>2.2000000000000002</v>
      </c>
      <c r="Q80" s="192">
        <f>'Támogatás szorzat tényezői'!$C$2*'Támogatás szorzat tényezői'!$C$3*N80*P80</f>
        <v>792000.00000000012</v>
      </c>
      <c r="R80" s="192">
        <f>'Támogatás szorzat tényezői'!$C$2*'Támogatás szorzat tényezői'!$C$3*P80</f>
        <v>396000.00000000006</v>
      </c>
    </row>
    <row r="81" spans="1:18" x14ac:dyDescent="0.25">
      <c r="A81" s="178">
        <v>91</v>
      </c>
      <c r="B81" s="287" t="str">
        <f t="shared" si="10"/>
        <v>Infokommunikációs hálózatépítő és -üzemeltető technikus</v>
      </c>
      <c r="C81" s="178" t="s">
        <v>1353</v>
      </c>
      <c r="D81" s="178">
        <v>5</v>
      </c>
      <c r="E81" s="178">
        <v>612</v>
      </c>
      <c r="F81" s="178">
        <v>12</v>
      </c>
      <c r="G81" s="178">
        <v>1</v>
      </c>
      <c r="H81" s="178" t="str">
        <f t="shared" si="11"/>
        <v>0612</v>
      </c>
      <c r="I81" s="178">
        <f t="shared" si="12"/>
        <v>12</v>
      </c>
      <c r="J81" s="178" t="str">
        <f t="shared" si="13"/>
        <v>01</v>
      </c>
      <c r="K81" s="178" t="str">
        <f t="shared" si="14"/>
        <v>5 0612 12 01</v>
      </c>
      <c r="L81" s="177" t="s">
        <v>1352</v>
      </c>
      <c r="M81" s="178">
        <v>5</v>
      </c>
      <c r="N81" s="178">
        <v>2</v>
      </c>
      <c r="O81" s="178">
        <v>8</v>
      </c>
      <c r="P81" s="191">
        <f>IF(D81=4,VLOOKUP(C81,Szakmaszorzók!$B$2:$D$25,2,0),VLOOKUP(C81,Szakmaszorzók!$B$2:$D$25,3,0))</f>
        <v>2.2000000000000002</v>
      </c>
      <c r="Q81" s="192">
        <f>'Támogatás szorzat tényezői'!$C$2*'Támogatás szorzat tényezői'!$C$3*N81*P81</f>
        <v>792000.00000000012</v>
      </c>
      <c r="R81" s="192">
        <f>'Támogatás szorzat tényezői'!$C$2*'Támogatás szorzat tényezői'!$C$3*P81</f>
        <v>396000.00000000006</v>
      </c>
    </row>
    <row r="82" spans="1:18" x14ac:dyDescent="0.25">
      <c r="A82" s="178">
        <v>92</v>
      </c>
      <c r="B82" s="287" t="str">
        <f t="shared" si="10"/>
        <v>Informatikai rendszer- és alkalmazás-üzemeltető technikus</v>
      </c>
      <c r="C82" s="178" t="s">
        <v>1353</v>
      </c>
      <c r="D82" s="178">
        <v>5</v>
      </c>
      <c r="E82" s="178">
        <v>612</v>
      </c>
      <c r="F82" s="178">
        <v>12</v>
      </c>
      <c r="G82" s="178">
        <v>2</v>
      </c>
      <c r="H82" s="178" t="str">
        <f t="shared" si="11"/>
        <v>0612</v>
      </c>
      <c r="I82" s="178">
        <f t="shared" si="12"/>
        <v>12</v>
      </c>
      <c r="J82" s="178" t="str">
        <f t="shared" si="13"/>
        <v>02</v>
      </c>
      <c r="K82" s="178" t="str">
        <f t="shared" si="14"/>
        <v>5 0612 12 02</v>
      </c>
      <c r="L82" s="177" t="s">
        <v>1354</v>
      </c>
      <c r="M82" s="178">
        <v>5</v>
      </c>
      <c r="N82" s="178">
        <v>2</v>
      </c>
      <c r="O82" s="178">
        <v>8</v>
      </c>
      <c r="P82" s="191">
        <f>IF(D82=4,VLOOKUP(C82,Szakmaszorzók!$B$2:$D$25,2,0),VLOOKUP(C82,Szakmaszorzók!$B$2:$D$25,3,0))</f>
        <v>2.2000000000000002</v>
      </c>
      <c r="Q82" s="192">
        <f>'Támogatás szorzat tényezői'!$C$2*'Támogatás szorzat tényezői'!$C$3*N82*P82</f>
        <v>792000.00000000012</v>
      </c>
      <c r="R82" s="192">
        <f>'Támogatás szorzat tényezői'!$C$2*'Támogatás szorzat tényezői'!$C$3*P82</f>
        <v>396000.00000000006</v>
      </c>
    </row>
    <row r="83" spans="1:18" x14ac:dyDescent="0.25">
      <c r="A83" s="178">
        <v>81</v>
      </c>
      <c r="B83" s="287" t="str">
        <f t="shared" si="10"/>
        <v>Ipari gépész</v>
      </c>
      <c r="C83" s="178" t="s">
        <v>1301</v>
      </c>
      <c r="D83" s="178">
        <v>4</v>
      </c>
      <c r="E83" s="178">
        <v>715</v>
      </c>
      <c r="F83" s="178">
        <v>10</v>
      </c>
      <c r="G83" s="178">
        <v>9</v>
      </c>
      <c r="H83" s="178" t="str">
        <f t="shared" si="11"/>
        <v>0715</v>
      </c>
      <c r="I83" s="178">
        <f t="shared" si="12"/>
        <v>10</v>
      </c>
      <c r="J83" s="178" t="str">
        <f t="shared" si="13"/>
        <v>09</v>
      </c>
      <c r="K83" s="178" t="str">
        <f t="shared" si="14"/>
        <v>4 0715 10 09</v>
      </c>
      <c r="L83" s="177" t="s">
        <v>175</v>
      </c>
      <c r="M83" s="178">
        <v>3</v>
      </c>
      <c r="N83" s="178">
        <v>2</v>
      </c>
      <c r="O83" s="178">
        <v>5</v>
      </c>
      <c r="P83" s="191">
        <f>IF(D83=4,VLOOKUP(C83,Szakmaszorzók!$B$2:$D$25,2,0),VLOOKUP(C83,Szakmaszorzók!$B$2:$D$25,3,0))</f>
        <v>2.42</v>
      </c>
      <c r="Q83" s="192">
        <f>'Támogatás szorzat tényezői'!$C$2*'Támogatás szorzat tényezői'!$C$3*N83*P83</f>
        <v>871200</v>
      </c>
      <c r="R83" s="192">
        <f>'Támogatás szorzat tényezői'!$C$2*'Támogatás szorzat tényezői'!$C$3*P83</f>
        <v>435600</v>
      </c>
    </row>
    <row r="84" spans="1:18" x14ac:dyDescent="0.25">
      <c r="A84" s="178">
        <v>27</v>
      </c>
      <c r="B84" s="287" t="str">
        <f t="shared" si="10"/>
        <v>Ipari informatikai technikus</v>
      </c>
      <c r="C84" s="178" t="s">
        <v>1290</v>
      </c>
      <c r="D84" s="178">
        <v>5</v>
      </c>
      <c r="E84" s="178">
        <v>714</v>
      </c>
      <c r="F84" s="178">
        <v>4</v>
      </c>
      <c r="G84" s="178">
        <v>5</v>
      </c>
      <c r="H84" s="178" t="str">
        <f t="shared" si="11"/>
        <v>0714</v>
      </c>
      <c r="I84" s="178" t="str">
        <f t="shared" si="12"/>
        <v>04</v>
      </c>
      <c r="J84" s="178" t="str">
        <f t="shared" si="13"/>
        <v>05</v>
      </c>
      <c r="K84" s="178" t="str">
        <f t="shared" si="14"/>
        <v>5 0714 04 05</v>
      </c>
      <c r="L84" s="177" t="s">
        <v>1355</v>
      </c>
      <c r="M84" s="178">
        <v>5</v>
      </c>
      <c r="N84" s="178">
        <v>2</v>
      </c>
      <c r="O84" s="178">
        <v>7</v>
      </c>
      <c r="P84" s="191">
        <f>IF(D84=4,VLOOKUP(C84,Szakmaszorzók!$B$2:$D$25,2,0),VLOOKUP(C84,Szakmaszorzók!$B$2:$D$25,3,0))</f>
        <v>2.85</v>
      </c>
      <c r="Q84" s="192">
        <f>'Támogatás szorzat tényezői'!$C$2*'Támogatás szorzat tényezői'!$C$3*N84*P84</f>
        <v>1026000</v>
      </c>
      <c r="R84" s="192">
        <f>'Támogatás szorzat tényezői'!$C$2*'Támogatás szorzat tényezői'!$C$3*P84</f>
        <v>513000</v>
      </c>
    </row>
    <row r="85" spans="1:18" x14ac:dyDescent="0.25">
      <c r="A85" s="178">
        <v>142</v>
      </c>
      <c r="B85" s="287" t="str">
        <f t="shared" si="10"/>
        <v>Ipari szerviztechnikus</v>
      </c>
      <c r="C85" s="178" t="s">
        <v>1287</v>
      </c>
      <c r="D85" s="178">
        <v>5</v>
      </c>
      <c r="E85" s="178">
        <v>715</v>
      </c>
      <c r="F85" s="178">
        <v>19</v>
      </c>
      <c r="G85" s="178">
        <v>7</v>
      </c>
      <c r="H85" s="178" t="str">
        <f t="shared" si="11"/>
        <v>0715</v>
      </c>
      <c r="I85" s="178">
        <f t="shared" si="12"/>
        <v>19</v>
      </c>
      <c r="J85" s="178" t="str">
        <f t="shared" si="13"/>
        <v>07</v>
      </c>
      <c r="K85" s="178" t="str">
        <f t="shared" si="14"/>
        <v>5 0715 19 07</v>
      </c>
      <c r="L85" s="177" t="s">
        <v>1356</v>
      </c>
      <c r="M85" s="178">
        <v>5</v>
      </c>
      <c r="N85" s="178">
        <v>2</v>
      </c>
      <c r="O85" s="178">
        <v>7</v>
      </c>
      <c r="P85" s="191">
        <f>IF(D85=4,VLOOKUP(C85,Szakmaszorzók!$B$2:$D$25,2,0),VLOOKUP(C85,Szakmaszorzók!$B$2:$D$25,3,0))</f>
        <v>2.85</v>
      </c>
      <c r="Q85" s="192">
        <f>'Támogatás szorzat tényezői'!$C$2*'Támogatás szorzat tényezői'!$C$3*N85*P85</f>
        <v>1026000</v>
      </c>
      <c r="R85" s="192">
        <f>'Támogatás szorzat tényezői'!$C$2*'Támogatás szorzat tényezői'!$C$3*P85</f>
        <v>513000</v>
      </c>
    </row>
    <row r="86" spans="1:18" x14ac:dyDescent="0.25">
      <c r="A86" s="178">
        <v>143</v>
      </c>
      <c r="B86" s="287" t="str">
        <f t="shared" si="10"/>
        <v>Járműfényező</v>
      </c>
      <c r="C86" s="178" t="s">
        <v>1287</v>
      </c>
      <c r="D86" s="178">
        <v>4</v>
      </c>
      <c r="E86" s="178">
        <v>716</v>
      </c>
      <c r="F86" s="178">
        <v>19</v>
      </c>
      <c r="G86" s="178">
        <v>8</v>
      </c>
      <c r="H86" s="178" t="str">
        <f t="shared" si="11"/>
        <v>0716</v>
      </c>
      <c r="I86" s="178">
        <f t="shared" si="12"/>
        <v>19</v>
      </c>
      <c r="J86" s="178" t="str">
        <f t="shared" si="13"/>
        <v>08</v>
      </c>
      <c r="K86" s="178" t="str">
        <f t="shared" si="14"/>
        <v>4 0716 19 08</v>
      </c>
      <c r="L86" s="177" t="s">
        <v>180</v>
      </c>
      <c r="M86" s="178">
        <v>3</v>
      </c>
      <c r="N86" s="178">
        <v>2</v>
      </c>
      <c r="O86" s="178">
        <v>4</v>
      </c>
      <c r="P86" s="191">
        <f>IF(D86=4,VLOOKUP(C86,Szakmaszorzók!$B$2:$D$25,2,0),VLOOKUP(C86,Szakmaszorzók!$B$2:$D$25,3,0))</f>
        <v>2.85</v>
      </c>
      <c r="Q86" s="192">
        <f>'Támogatás szorzat tényezői'!$C$2*'Támogatás szorzat tényezői'!$C$3*N86*P86</f>
        <v>1026000</v>
      </c>
      <c r="R86" s="192">
        <f>'Támogatás szorzat tényezői'!$C$2*'Támogatás szorzat tényezői'!$C$3*P86</f>
        <v>513000</v>
      </c>
    </row>
    <row r="87" spans="1:18" x14ac:dyDescent="0.25">
      <c r="A87" s="178">
        <v>144</v>
      </c>
      <c r="B87" s="287" t="str">
        <f t="shared" si="10"/>
        <v>Járműipari karbantartó technikus</v>
      </c>
      <c r="C87" s="178" t="s">
        <v>1287</v>
      </c>
      <c r="D87" s="178">
        <v>5</v>
      </c>
      <c r="E87" s="178">
        <v>714</v>
      </c>
      <c r="F87" s="178">
        <v>19</v>
      </c>
      <c r="G87" s="178">
        <v>9</v>
      </c>
      <c r="H87" s="178" t="str">
        <f t="shared" si="11"/>
        <v>0714</v>
      </c>
      <c r="I87" s="178">
        <f t="shared" si="12"/>
        <v>19</v>
      </c>
      <c r="J87" s="178" t="str">
        <f t="shared" si="13"/>
        <v>09</v>
      </c>
      <c r="K87" s="178" t="str">
        <f t="shared" si="14"/>
        <v>5 0714 19 09</v>
      </c>
      <c r="L87" s="177" t="s">
        <v>207</v>
      </c>
      <c r="M87" s="178">
        <v>6</v>
      </c>
      <c r="N87" s="178">
        <v>3</v>
      </c>
      <c r="O87" s="178">
        <v>7</v>
      </c>
      <c r="P87" s="191">
        <f>IF(D87=4,VLOOKUP(C87,Szakmaszorzók!$B$2:$D$25,2,0),VLOOKUP(C87,Szakmaszorzók!$B$2:$D$25,3,0))</f>
        <v>2.85</v>
      </c>
      <c r="Q87" s="192">
        <f>'Támogatás szorzat tényezői'!$C$2*'Támogatás szorzat tényezői'!$C$3*N87*P87</f>
        <v>1539000</v>
      </c>
      <c r="R87" s="192">
        <f>'Támogatás szorzat tényezői'!$C$2*'Támogatás szorzat tényezői'!$C$3*P87</f>
        <v>513000</v>
      </c>
    </row>
    <row r="88" spans="1:18" x14ac:dyDescent="0.25">
      <c r="A88" s="178">
        <v>145</v>
      </c>
      <c r="B88" s="287" t="str">
        <f t="shared" si="10"/>
        <v>Járműkarosszéria-előkészítő, felületbevonó</v>
      </c>
      <c r="C88" s="178" t="s">
        <v>1287</v>
      </c>
      <c r="D88" s="178">
        <v>4</v>
      </c>
      <c r="E88" s="178">
        <v>716</v>
      </c>
      <c r="F88" s="178">
        <v>19</v>
      </c>
      <c r="G88" s="178">
        <v>10</v>
      </c>
      <c r="H88" s="178" t="str">
        <f t="shared" si="11"/>
        <v>0716</v>
      </c>
      <c r="I88" s="178">
        <f t="shared" si="12"/>
        <v>19</v>
      </c>
      <c r="J88" s="178">
        <f t="shared" si="13"/>
        <v>10</v>
      </c>
      <c r="K88" s="178" t="str">
        <f t="shared" si="14"/>
        <v>4 0716 19 10</v>
      </c>
      <c r="L88" s="177" t="s">
        <v>1357</v>
      </c>
      <c r="M88" s="178">
        <v>3</v>
      </c>
      <c r="N88" s="178">
        <v>2</v>
      </c>
      <c r="O88" s="178">
        <v>6</v>
      </c>
      <c r="P88" s="191">
        <f>IF(D88=4,VLOOKUP(C88,Szakmaszorzók!$B$2:$D$25,2,0),VLOOKUP(C88,Szakmaszorzók!$B$2:$D$25,3,0))</f>
        <v>2.85</v>
      </c>
      <c r="Q88" s="192">
        <f>'Támogatás szorzat tényezői'!$C$2*'Támogatás szorzat tényezői'!$C$3*N88*P88</f>
        <v>1026000</v>
      </c>
      <c r="R88" s="192">
        <f>'Támogatás szorzat tényezői'!$C$2*'Támogatás szorzat tényezői'!$C$3*P88</f>
        <v>513000</v>
      </c>
    </row>
    <row r="89" spans="1:18" x14ac:dyDescent="0.25">
      <c r="A89" s="178">
        <v>146</v>
      </c>
      <c r="B89" s="287" t="str">
        <f>L89</f>
        <v>Karosszérialakatos</v>
      </c>
      <c r="C89" s="178" t="s">
        <v>1287</v>
      </c>
      <c r="D89" s="178">
        <v>4</v>
      </c>
      <c r="E89" s="178">
        <v>716</v>
      </c>
      <c r="F89" s="178">
        <v>19</v>
      </c>
      <c r="G89" s="178">
        <v>11</v>
      </c>
      <c r="H89" s="178" t="str">
        <f t="shared" si="11"/>
        <v>0716</v>
      </c>
      <c r="I89" s="178">
        <f t="shared" si="12"/>
        <v>19</v>
      </c>
      <c r="J89" s="178">
        <f t="shared" si="13"/>
        <v>11</v>
      </c>
      <c r="K89" s="178" t="str">
        <f t="shared" si="14"/>
        <v>4 0716 19 11</v>
      </c>
      <c r="L89" s="177" t="s">
        <v>188</v>
      </c>
      <c r="M89" s="178">
        <v>3</v>
      </c>
      <c r="N89" s="178">
        <v>2</v>
      </c>
      <c r="O89" s="178">
        <v>4</v>
      </c>
      <c r="P89" s="191">
        <f>IF(D89=4,VLOOKUP(C89,Szakmaszorzók!$B$2:$D$25,2,0),VLOOKUP(C89,Szakmaszorzók!$B$2:$D$25,3,0))</f>
        <v>2.85</v>
      </c>
      <c r="Q89" s="192">
        <f>'Támogatás szorzat tényezői'!$C$2*'Támogatás szorzat tényezői'!$C$3*N89*P89</f>
        <v>1026000</v>
      </c>
      <c r="R89" s="192">
        <f>'Támogatás szorzat tényezői'!$C$2*'Támogatás szorzat tényezői'!$C$3*P89</f>
        <v>513000</v>
      </c>
    </row>
    <row r="90" spans="1:18" x14ac:dyDescent="0.25">
      <c r="A90" s="178">
        <v>70</v>
      </c>
      <c r="B90" s="287" t="str">
        <f t="shared" si="10"/>
        <v>Kárpitos</v>
      </c>
      <c r="C90" s="178" t="s">
        <v>1289</v>
      </c>
      <c r="D90" s="178">
        <v>4</v>
      </c>
      <c r="E90" s="178">
        <v>723</v>
      </c>
      <c r="F90" s="178">
        <v>8</v>
      </c>
      <c r="G90" s="178">
        <v>3</v>
      </c>
      <c r="H90" s="178" t="str">
        <f t="shared" si="11"/>
        <v>0723</v>
      </c>
      <c r="I90" s="178" t="str">
        <f t="shared" si="12"/>
        <v>08</v>
      </c>
      <c r="J90" s="178" t="str">
        <f t="shared" si="13"/>
        <v>03</v>
      </c>
      <c r="K90" s="178" t="str">
        <f t="shared" si="14"/>
        <v>4 0723 08 03</v>
      </c>
      <c r="L90" s="177" t="s">
        <v>190</v>
      </c>
      <c r="M90" s="178">
        <v>3</v>
      </c>
      <c r="N90" s="178">
        <v>2</v>
      </c>
      <c r="O90" s="178">
        <v>4</v>
      </c>
      <c r="P90" s="191">
        <f>IF(D90=4,VLOOKUP(C90,Szakmaszorzók!$B$2:$D$25,2,0),VLOOKUP(C90,Szakmaszorzók!$B$2:$D$25,3,0))</f>
        <v>2.42</v>
      </c>
      <c r="Q90" s="192">
        <f>'Támogatás szorzat tényezői'!$C$2*'Támogatás szorzat tényezői'!$C$3*N90*P90</f>
        <v>871200</v>
      </c>
      <c r="R90" s="192">
        <f>'Támogatás szorzat tényezői'!$C$2*'Támogatás szorzat tényezői'!$C$3*P90</f>
        <v>435600</v>
      </c>
    </row>
    <row r="91" spans="1:18" x14ac:dyDescent="0.25">
      <c r="A91" s="178">
        <v>103</v>
      </c>
      <c r="B91" s="287" t="str">
        <f t="shared" si="10"/>
        <v>Képesített hajós</v>
      </c>
      <c r="C91" s="178" t="s">
        <v>1340</v>
      </c>
      <c r="D91" s="178">
        <v>4</v>
      </c>
      <c r="E91" s="178">
        <v>1041</v>
      </c>
      <c r="F91" s="178">
        <v>15</v>
      </c>
      <c r="G91" s="178">
        <v>2</v>
      </c>
      <c r="H91" s="178">
        <f t="shared" si="11"/>
        <v>1041</v>
      </c>
      <c r="I91" s="178">
        <f t="shared" si="12"/>
        <v>15</v>
      </c>
      <c r="J91" s="178" t="str">
        <f t="shared" si="13"/>
        <v>02</v>
      </c>
      <c r="K91" s="178" t="str">
        <f t="shared" si="14"/>
        <v>4 1041 15 02</v>
      </c>
      <c r="L91" s="177" t="s">
        <v>1358</v>
      </c>
      <c r="M91" s="178">
        <v>3</v>
      </c>
      <c r="N91" s="178">
        <v>2</v>
      </c>
      <c r="O91" s="178">
        <v>4</v>
      </c>
      <c r="P91" s="191">
        <f>IF(D91=4,VLOOKUP(C91,Szakmaszorzók!$B$2:$D$25,2,0),VLOOKUP(C91,Szakmaszorzók!$B$2:$D$25,3,0))</f>
        <v>2.2000000000000002</v>
      </c>
      <c r="Q91" s="192">
        <f>'Támogatás szorzat tényezői'!$C$2*'Támogatás szorzat tényezői'!$C$3*N91*P91</f>
        <v>792000.00000000012</v>
      </c>
      <c r="R91" s="192">
        <f>'Támogatás szorzat tényezői'!$C$2*'Támogatás szorzat tényezői'!$C$3*P91</f>
        <v>396000.00000000006</v>
      </c>
    </row>
    <row r="92" spans="1:18" x14ac:dyDescent="0.25">
      <c r="A92" s="178">
        <v>113</v>
      </c>
      <c r="B92" s="287" t="str">
        <f t="shared" si="10"/>
        <v>Kerámia- és porcelánkészítő</v>
      </c>
      <c r="C92" s="178" t="s">
        <v>1298</v>
      </c>
      <c r="D92" s="178">
        <v>4</v>
      </c>
      <c r="E92" s="178">
        <v>214</v>
      </c>
      <c r="F92" s="178">
        <v>16</v>
      </c>
      <c r="G92" s="178">
        <v>4</v>
      </c>
      <c r="H92" s="178" t="str">
        <f t="shared" si="11"/>
        <v>0214</v>
      </c>
      <c r="I92" s="178">
        <f t="shared" si="12"/>
        <v>16</v>
      </c>
      <c r="J92" s="178" t="str">
        <f t="shared" si="13"/>
        <v>04</v>
      </c>
      <c r="K92" s="178" t="str">
        <f t="shared" si="14"/>
        <v>4 0214 16 04</v>
      </c>
      <c r="L92" s="177" t="s">
        <v>1359</v>
      </c>
      <c r="M92" s="178">
        <v>3</v>
      </c>
      <c r="N92" s="178">
        <v>2</v>
      </c>
      <c r="O92" s="178">
        <v>4</v>
      </c>
      <c r="P92" s="191">
        <f>IF(D92=4,VLOOKUP(C92,Szakmaszorzók!$B$2:$D$25,2,0),VLOOKUP(C92,Szakmaszorzók!$B$2:$D$25,3,0))</f>
        <v>2.42</v>
      </c>
      <c r="Q92" s="192">
        <f>'Támogatás szorzat tényezői'!$C$2*'Támogatás szorzat tényezői'!$C$3*N92*P92</f>
        <v>871200</v>
      </c>
      <c r="R92" s="192">
        <f>'Támogatás szorzat tényezői'!$C$2*'Támogatás szorzat tényezői'!$C$3*P92</f>
        <v>435600</v>
      </c>
    </row>
    <row r="93" spans="1:18" x14ac:dyDescent="0.25">
      <c r="A93" s="178">
        <v>96</v>
      </c>
      <c r="B93" s="287" t="str">
        <f t="shared" si="10"/>
        <v>Kereskedelmi értékesítő</v>
      </c>
      <c r="C93" s="178" t="s">
        <v>1351</v>
      </c>
      <c r="D93" s="178">
        <v>4</v>
      </c>
      <c r="E93" s="178">
        <v>416</v>
      </c>
      <c r="F93" s="178">
        <v>13</v>
      </c>
      <c r="G93" s="178">
        <v>2</v>
      </c>
      <c r="H93" s="178" t="str">
        <f t="shared" si="11"/>
        <v>0416</v>
      </c>
      <c r="I93" s="178">
        <f t="shared" si="12"/>
        <v>13</v>
      </c>
      <c r="J93" s="178" t="str">
        <f t="shared" si="13"/>
        <v>02</v>
      </c>
      <c r="K93" s="178" t="str">
        <f t="shared" si="14"/>
        <v>4 0416 13 02</v>
      </c>
      <c r="L93" s="177" t="s">
        <v>1361</v>
      </c>
      <c r="M93" s="178">
        <v>3</v>
      </c>
      <c r="N93" s="178">
        <v>2</v>
      </c>
      <c r="O93" s="178">
        <v>5</v>
      </c>
      <c r="P93" s="191">
        <f>IF(D93=4,VLOOKUP(C93,Szakmaszorzók!$B$2:$D$25,2,0),VLOOKUP(C93,Szakmaszorzók!$B$2:$D$25,3,0))</f>
        <v>2.2000000000000002</v>
      </c>
      <c r="Q93" s="192">
        <f>'Támogatás szorzat tényezői'!$C$2*'Támogatás szorzat tényezői'!$C$3*N93*P93</f>
        <v>792000.00000000012</v>
      </c>
      <c r="R93" s="192">
        <f>'Támogatás szorzat tényezői'!$C$2*'Támogatás szorzat tényezői'!$C$3*P93</f>
        <v>396000.00000000006</v>
      </c>
    </row>
    <row r="94" spans="1:18" x14ac:dyDescent="0.25">
      <c r="A94" s="178">
        <v>97</v>
      </c>
      <c r="B94" s="287" t="str">
        <f t="shared" si="10"/>
        <v>Kereskedő és webáruházi technikus</v>
      </c>
      <c r="C94" s="178" t="s">
        <v>1351</v>
      </c>
      <c r="D94" s="178">
        <v>5</v>
      </c>
      <c r="E94" s="178">
        <v>416</v>
      </c>
      <c r="F94" s="178">
        <v>13</v>
      </c>
      <c r="G94" s="178">
        <v>3</v>
      </c>
      <c r="H94" s="178" t="str">
        <f t="shared" si="11"/>
        <v>0416</v>
      </c>
      <c r="I94" s="178">
        <f t="shared" si="12"/>
        <v>13</v>
      </c>
      <c r="J94" s="178" t="str">
        <f t="shared" si="13"/>
        <v>03</v>
      </c>
      <c r="K94" s="178" t="str">
        <f t="shared" si="14"/>
        <v>5 0416 13 03</v>
      </c>
      <c r="L94" s="177" t="s">
        <v>1363</v>
      </c>
      <c r="M94" s="178">
        <v>5</v>
      </c>
      <c r="N94" s="178">
        <v>2</v>
      </c>
      <c r="O94" s="178">
        <v>6</v>
      </c>
      <c r="P94" s="191">
        <f>IF(D94=4,VLOOKUP(C94,Szakmaszorzók!$B$2:$D$25,2,0),VLOOKUP(C94,Szakmaszorzók!$B$2:$D$25,3,0))</f>
        <v>2.2000000000000002</v>
      </c>
      <c r="Q94" s="192">
        <f>'Támogatás szorzat tényezői'!$C$2*'Támogatás szorzat tényezői'!$C$3*N94*P94</f>
        <v>792000.00000000012</v>
      </c>
      <c r="R94" s="192">
        <f>'Támogatás szorzat tényezői'!$C$2*'Támogatás szorzat tényezői'!$C$3*P94</f>
        <v>396000.00000000006</v>
      </c>
    </row>
    <row r="95" spans="1:18" x14ac:dyDescent="0.25">
      <c r="A95" s="178">
        <v>128</v>
      </c>
      <c r="B95" s="287" t="str">
        <f t="shared" si="10"/>
        <v>Kertész</v>
      </c>
      <c r="C95" s="178" t="s">
        <v>1316</v>
      </c>
      <c r="D95" s="178">
        <v>4</v>
      </c>
      <c r="E95" s="178">
        <v>812</v>
      </c>
      <c r="F95" s="178">
        <v>17</v>
      </c>
      <c r="G95" s="178">
        <v>5</v>
      </c>
      <c r="H95" s="178" t="str">
        <f t="shared" si="11"/>
        <v>0812</v>
      </c>
      <c r="I95" s="178">
        <f t="shared" si="12"/>
        <v>17</v>
      </c>
      <c r="J95" s="178" t="str">
        <f t="shared" si="13"/>
        <v>05</v>
      </c>
      <c r="K95" s="178" t="str">
        <f t="shared" si="14"/>
        <v>4 0812 17 05</v>
      </c>
      <c r="L95" s="177" t="s">
        <v>195</v>
      </c>
      <c r="M95" s="178">
        <v>3</v>
      </c>
      <c r="N95" s="178">
        <v>2</v>
      </c>
      <c r="O95" s="178">
        <v>4</v>
      </c>
      <c r="P95" s="191">
        <f>IF(D95=4,VLOOKUP(C95,Szakmaszorzók!$B$2:$D$25,2,0),VLOOKUP(C95,Szakmaszorzók!$B$2:$D$25,3,0))</f>
        <v>2.42</v>
      </c>
      <c r="Q95" s="192">
        <f>'Támogatás szorzat tényezői'!$C$2*'Támogatás szorzat tényezői'!$C$3*N95*P95</f>
        <v>871200</v>
      </c>
      <c r="R95" s="192">
        <f>'Támogatás szorzat tényezői'!$C$2*'Támogatás szorzat tényezői'!$C$3*P95</f>
        <v>435600</v>
      </c>
    </row>
    <row r="96" spans="1:18" x14ac:dyDescent="0.25">
      <c r="A96" s="178">
        <v>129</v>
      </c>
      <c r="B96" s="287" t="str">
        <f t="shared" si="10"/>
        <v>Kertésztechnikus</v>
      </c>
      <c r="C96" s="178" t="s">
        <v>1316</v>
      </c>
      <c r="D96" s="178">
        <v>5</v>
      </c>
      <c r="E96" s="178">
        <v>812</v>
      </c>
      <c r="F96" s="178">
        <v>17</v>
      </c>
      <c r="G96" s="178">
        <v>6</v>
      </c>
      <c r="H96" s="178" t="str">
        <f t="shared" si="11"/>
        <v>0812</v>
      </c>
      <c r="I96" s="178">
        <f t="shared" si="12"/>
        <v>17</v>
      </c>
      <c r="J96" s="178" t="str">
        <f t="shared" si="13"/>
        <v>06</v>
      </c>
      <c r="K96" s="178" t="str">
        <f t="shared" si="14"/>
        <v>5 0812 17 06</v>
      </c>
      <c r="L96" s="177" t="s">
        <v>1364</v>
      </c>
      <c r="M96" s="178">
        <v>5</v>
      </c>
      <c r="N96" s="178">
        <v>2</v>
      </c>
      <c r="O96" s="178">
        <v>5</v>
      </c>
      <c r="P96" s="191">
        <f>IF(D96=4,VLOOKUP(C96,Szakmaszorzók!$B$2:$D$25,2,0),VLOOKUP(C96,Szakmaszorzók!$B$2:$D$25,3,0))</f>
        <v>2.85</v>
      </c>
      <c r="Q96" s="192">
        <f>'Támogatás szorzat tényezői'!$C$2*'Támogatás szorzat tényezői'!$C$3*N96*P96</f>
        <v>1026000</v>
      </c>
      <c r="R96" s="192">
        <f>'Támogatás szorzat tényezői'!$C$2*'Támogatás szorzat tényezői'!$C$3*P96</f>
        <v>513000</v>
      </c>
    </row>
    <row r="97" spans="1:18" x14ac:dyDescent="0.25">
      <c r="A97" s="178">
        <v>152</v>
      </c>
      <c r="B97" s="287" t="str">
        <f t="shared" si="10"/>
        <v>Kéz- és lábápoló technikus</v>
      </c>
      <c r="C97" s="178" t="s">
        <v>1327</v>
      </c>
      <c r="D97" s="178">
        <v>5</v>
      </c>
      <c r="E97" s="178">
        <v>1012</v>
      </c>
      <c r="F97" s="178">
        <v>21</v>
      </c>
      <c r="G97" s="178">
        <v>2</v>
      </c>
      <c r="H97" s="178">
        <f t="shared" si="11"/>
        <v>1012</v>
      </c>
      <c r="I97" s="178">
        <f t="shared" si="12"/>
        <v>21</v>
      </c>
      <c r="J97" s="178" t="str">
        <f t="shared" si="13"/>
        <v>02</v>
      </c>
      <c r="K97" s="178" t="str">
        <f t="shared" si="14"/>
        <v>5 1012 21 02</v>
      </c>
      <c r="L97" s="177" t="s">
        <v>1365</v>
      </c>
      <c r="M97" s="178">
        <v>5</v>
      </c>
      <c r="N97" s="178">
        <v>2</v>
      </c>
      <c r="O97" s="178">
        <v>5</v>
      </c>
      <c r="P97" s="191">
        <f>IF(D97=4,VLOOKUP(C97,Szakmaszorzók!$B$2:$D$25,2,0),VLOOKUP(C97,Szakmaszorzók!$B$2:$D$25,3,0))</f>
        <v>2.42</v>
      </c>
      <c r="Q97" s="192">
        <f>'Támogatás szorzat tényezői'!$C$2*'Támogatás szorzat tényezői'!$C$3*N97*P97</f>
        <v>871200</v>
      </c>
      <c r="R97" s="192">
        <f>'Támogatás szorzat tényezői'!$C$2*'Támogatás szorzat tényezői'!$C$3*P97</f>
        <v>435600</v>
      </c>
    </row>
    <row r="98" spans="1:18" x14ac:dyDescent="0.25">
      <c r="A98" s="178">
        <v>155</v>
      </c>
      <c r="B98" s="287" t="str">
        <f t="shared" si="10"/>
        <v>Kisgyermekgondozó, -nevelő</v>
      </c>
      <c r="C98" s="178" t="s">
        <v>1338</v>
      </c>
      <c r="D98" s="178">
        <v>5</v>
      </c>
      <c r="E98" s="178">
        <v>922</v>
      </c>
      <c r="F98" s="178">
        <v>22</v>
      </c>
      <c r="G98" s="178">
        <v>2</v>
      </c>
      <c r="H98" s="178" t="str">
        <f t="shared" si="11"/>
        <v>0922</v>
      </c>
      <c r="I98" s="178">
        <f t="shared" si="12"/>
        <v>22</v>
      </c>
      <c r="J98" s="178" t="str">
        <f t="shared" si="13"/>
        <v>02</v>
      </c>
      <c r="K98" s="178" t="str">
        <f t="shared" si="14"/>
        <v>5 0922 22 02</v>
      </c>
      <c r="L98" s="177" t="s">
        <v>198</v>
      </c>
      <c r="M98" s="178">
        <v>5</v>
      </c>
      <c r="N98" s="178">
        <v>2</v>
      </c>
      <c r="O98" s="178">
        <v>5</v>
      </c>
      <c r="P98" s="191">
        <f>IF(D98=4,VLOOKUP(C98,Szakmaszorzók!$B$2:$D$25,2,0),VLOOKUP(C98,Szakmaszorzók!$B$2:$D$25,3,0))</f>
        <v>2.2000000000000002</v>
      </c>
      <c r="Q98" s="192">
        <f>'Támogatás szorzat tényezői'!$C$2*'Támogatás szorzat tényezői'!$C$3*N98*P98</f>
        <v>792000.00000000012</v>
      </c>
      <c r="R98" s="192">
        <f>'Támogatás szorzat tényezői'!$C$2*'Támogatás szorzat tényezői'!$C$3*P98</f>
        <v>396000.00000000006</v>
      </c>
    </row>
    <row r="99" spans="1:18" x14ac:dyDescent="0.25">
      <c r="A99" s="178">
        <v>104</v>
      </c>
      <c r="B99" s="287" t="str">
        <f t="shared" si="10"/>
        <v>Kishajóépítő és -karbantartó</v>
      </c>
      <c r="C99" s="178" t="s">
        <v>1340</v>
      </c>
      <c r="D99" s="178">
        <v>4</v>
      </c>
      <c r="E99" s="178">
        <v>722</v>
      </c>
      <c r="F99" s="178">
        <v>15</v>
      </c>
      <c r="G99" s="178">
        <v>3</v>
      </c>
      <c r="H99" s="178" t="str">
        <f t="shared" si="11"/>
        <v>0722</v>
      </c>
      <c r="I99" s="178">
        <f t="shared" si="12"/>
        <v>15</v>
      </c>
      <c r="J99" s="178" t="str">
        <f t="shared" si="13"/>
        <v>03</v>
      </c>
      <c r="K99" s="178" t="str">
        <f t="shared" si="14"/>
        <v>4 0722 15 03</v>
      </c>
      <c r="L99" s="177" t="s">
        <v>1366</v>
      </c>
      <c r="M99" s="178">
        <v>3</v>
      </c>
      <c r="N99" s="178">
        <v>2</v>
      </c>
      <c r="O99" s="178">
        <v>4</v>
      </c>
      <c r="P99" s="191">
        <f>IF(D99=4,VLOOKUP(C99,Szakmaszorzók!$B$2:$D$25,2,0),VLOOKUP(C99,Szakmaszorzók!$B$2:$D$25,3,0))</f>
        <v>2.2000000000000002</v>
      </c>
      <c r="Q99" s="192">
        <f>'Támogatás szorzat tényezői'!$C$2*'Támogatás szorzat tényezői'!$C$3*N99*P99</f>
        <v>792000.00000000012</v>
      </c>
      <c r="R99" s="192">
        <f>'Támogatás szorzat tényezői'!$C$2*'Támogatás szorzat tényezői'!$C$3*P99</f>
        <v>396000.00000000006</v>
      </c>
    </row>
    <row r="100" spans="1:18" x14ac:dyDescent="0.25">
      <c r="A100" s="178">
        <v>39</v>
      </c>
      <c r="B100" s="287" t="str">
        <f t="shared" si="10"/>
        <v>Kistermelői élelmiszer-előállító</v>
      </c>
      <c r="C100" s="178" t="s">
        <v>1296</v>
      </c>
      <c r="D100" s="178">
        <v>4</v>
      </c>
      <c r="E100" s="178">
        <v>721</v>
      </c>
      <c r="F100" s="178">
        <v>5</v>
      </c>
      <c r="G100" s="178">
        <v>10</v>
      </c>
      <c r="H100" s="178" t="str">
        <f t="shared" si="11"/>
        <v>0721</v>
      </c>
      <c r="I100" s="178" t="str">
        <f t="shared" si="12"/>
        <v>05</v>
      </c>
      <c r="J100" s="178">
        <f t="shared" si="13"/>
        <v>10</v>
      </c>
      <c r="K100" s="178" t="str">
        <f t="shared" si="14"/>
        <v>4 0721 05 10</v>
      </c>
      <c r="L100" s="177" t="s">
        <v>1367</v>
      </c>
      <c r="M100" s="178">
        <v>3</v>
      </c>
      <c r="N100" s="178">
        <v>2</v>
      </c>
      <c r="O100" s="178">
        <v>4</v>
      </c>
      <c r="P100" s="191">
        <f>IF(D100=4,VLOOKUP(C100,Szakmaszorzók!$B$2:$D$25,2,0),VLOOKUP(C100,Szakmaszorzók!$B$2:$D$25,3,0))</f>
        <v>2.2000000000000002</v>
      </c>
      <c r="Q100" s="192">
        <f>'Támogatás szorzat tényezői'!$C$2*'Támogatás szorzat tényezői'!$C$3*N100*P100</f>
        <v>792000.00000000012</v>
      </c>
      <c r="R100" s="192">
        <f>'Támogatás szorzat tényezői'!$C$2*'Támogatás szorzat tényezői'!$C$3*P100</f>
        <v>396000.00000000006</v>
      </c>
    </row>
    <row r="101" spans="1:18" x14ac:dyDescent="0.25">
      <c r="A101" s="178">
        <v>17</v>
      </c>
      <c r="B101" s="287" t="str">
        <f t="shared" si="10"/>
        <v>Klinikai laboratóriumi szakasszisztens</v>
      </c>
      <c r="C101" s="178" t="s">
        <v>1285</v>
      </c>
      <c r="D101" s="178">
        <v>5</v>
      </c>
      <c r="E101" s="178">
        <v>914</v>
      </c>
      <c r="F101" s="178">
        <v>3</v>
      </c>
      <c r="G101" s="178">
        <v>5</v>
      </c>
      <c r="H101" s="178" t="str">
        <f t="shared" si="11"/>
        <v>0914</v>
      </c>
      <c r="I101" s="178" t="str">
        <f t="shared" si="12"/>
        <v>03</v>
      </c>
      <c r="J101" s="178" t="str">
        <f t="shared" si="13"/>
        <v>05</v>
      </c>
      <c r="K101" s="178" t="str">
        <f t="shared" si="14"/>
        <v>5 0914 03 05</v>
      </c>
      <c r="L101" s="177" t="s">
        <v>236</v>
      </c>
      <c r="M101" s="178">
        <v>6</v>
      </c>
      <c r="N101" s="178">
        <v>3</v>
      </c>
      <c r="O101" s="178">
        <v>6</v>
      </c>
      <c r="P101" s="191">
        <f>IF(D101=4,VLOOKUP(C101,Szakmaszorzók!$B$2:$D$25,2,0),VLOOKUP(C101,Szakmaszorzók!$B$2:$D$25,3,0))</f>
        <v>2.2000000000000002</v>
      </c>
      <c r="Q101" s="192">
        <f>'Támogatás szorzat tényezői'!$C$2*'Támogatás szorzat tényezői'!$C$3*N101*P101</f>
        <v>1188000</v>
      </c>
      <c r="R101" s="192">
        <f>'Támogatás szorzat tényezői'!$C$2*'Támogatás szorzat tényezői'!$C$3*P101</f>
        <v>396000.00000000006</v>
      </c>
    </row>
    <row r="102" spans="1:18" x14ac:dyDescent="0.25">
      <c r="A102" s="178">
        <v>105</v>
      </c>
      <c r="B102" s="287" t="str">
        <f t="shared" si="10"/>
        <v>Kocsivizsgáló technikus</v>
      </c>
      <c r="C102" s="178" t="s">
        <v>1340</v>
      </c>
      <c r="D102" s="178">
        <v>5</v>
      </c>
      <c r="E102" s="178">
        <v>716</v>
      </c>
      <c r="F102" s="178">
        <v>15</v>
      </c>
      <c r="G102" s="178">
        <v>4</v>
      </c>
      <c r="H102" s="178" t="str">
        <f t="shared" si="11"/>
        <v>0716</v>
      </c>
      <c r="I102" s="178">
        <f t="shared" si="12"/>
        <v>15</v>
      </c>
      <c r="J102" s="178" t="str">
        <f t="shared" si="13"/>
        <v>04</v>
      </c>
      <c r="K102" s="178" t="str">
        <f t="shared" si="14"/>
        <v>5 0716 15 04</v>
      </c>
      <c r="L102" s="177" t="s">
        <v>1368</v>
      </c>
      <c r="M102" s="178">
        <v>5</v>
      </c>
      <c r="N102" s="178">
        <v>2</v>
      </c>
      <c r="O102" s="178">
        <v>5</v>
      </c>
      <c r="P102" s="191">
        <f>IF(D102=4,VLOOKUP(C102,Szakmaszorzók!$B$2:$D$25,2,0),VLOOKUP(C102,Szakmaszorzók!$B$2:$D$25,3,0))</f>
        <v>2.2000000000000002</v>
      </c>
      <c r="Q102" s="192">
        <f>'Támogatás szorzat tényezői'!$C$2*'Támogatás szorzat tényezői'!$C$3*N102*P102</f>
        <v>792000.00000000012</v>
      </c>
      <c r="R102" s="192">
        <f>'Támogatás szorzat tényezői'!$C$2*'Támogatás szorzat tényezői'!$C$3*P102</f>
        <v>396000.00000000006</v>
      </c>
    </row>
    <row r="103" spans="1:18" x14ac:dyDescent="0.25">
      <c r="A103" s="178">
        <v>8</v>
      </c>
      <c r="B103" s="287" t="str">
        <f t="shared" ref="B103:B134" si="15">L103</f>
        <v>Kohász- és öntésztechnikus</v>
      </c>
      <c r="C103" s="178" t="s">
        <v>1293</v>
      </c>
      <c r="D103" s="178">
        <v>5</v>
      </c>
      <c r="E103" s="178">
        <v>715</v>
      </c>
      <c r="F103" s="178">
        <v>1</v>
      </c>
      <c r="G103" s="178">
        <v>6</v>
      </c>
      <c r="H103" s="178" t="str">
        <f t="shared" ref="H103:H134" si="16">IF(E103&lt;1000,"0"&amp;E103,E103)</f>
        <v>0715</v>
      </c>
      <c r="I103" s="178" t="str">
        <f t="shared" ref="I103:I134" si="17">IF(F103&lt;10,"0"&amp;F103,F103)</f>
        <v>01</v>
      </c>
      <c r="J103" s="178" t="str">
        <f t="shared" ref="J103:J134" si="18">IF(G103&lt;10,"0"&amp;G103,G103)</f>
        <v>06</v>
      </c>
      <c r="K103" s="178" t="str">
        <f t="shared" ref="K103:K134" si="19">D103&amp;" "&amp;H103&amp;" "&amp;I103&amp;" "&amp;J103</f>
        <v>5 0715 01 06</v>
      </c>
      <c r="L103" s="177" t="s">
        <v>1369</v>
      </c>
      <c r="M103" s="178">
        <v>5</v>
      </c>
      <c r="N103" s="178">
        <v>2</v>
      </c>
      <c r="O103" s="178">
        <v>6</v>
      </c>
      <c r="P103" s="191">
        <f>IF(D103=4,VLOOKUP(C103,Szakmaszorzók!$B$2:$D$25,2,0),VLOOKUP(C103,Szakmaszorzók!$B$2:$D$25,3,0))</f>
        <v>2.42</v>
      </c>
      <c r="Q103" s="192">
        <f>'Támogatás szorzat tényezői'!$C$2*'Támogatás szorzat tényezői'!$C$3*N103*P103</f>
        <v>871200</v>
      </c>
      <c r="R103" s="192">
        <f>'Támogatás szorzat tényezői'!$C$2*'Támogatás szorzat tényezői'!$C$3*P103</f>
        <v>435600</v>
      </c>
    </row>
    <row r="104" spans="1:18" x14ac:dyDescent="0.25">
      <c r="A104" s="178">
        <v>153</v>
      </c>
      <c r="B104" s="287" t="str">
        <f t="shared" si="15"/>
        <v>Kozmetikus technikus</v>
      </c>
      <c r="C104" s="178" t="s">
        <v>1327</v>
      </c>
      <c r="D104" s="178">
        <v>5</v>
      </c>
      <c r="E104" s="178">
        <v>1012</v>
      </c>
      <c r="F104" s="178">
        <v>21</v>
      </c>
      <c r="G104" s="178">
        <v>3</v>
      </c>
      <c r="H104" s="178">
        <f t="shared" si="16"/>
        <v>1012</v>
      </c>
      <c r="I104" s="178">
        <f t="shared" si="17"/>
        <v>21</v>
      </c>
      <c r="J104" s="178" t="str">
        <f t="shared" si="18"/>
        <v>03</v>
      </c>
      <c r="K104" s="178" t="str">
        <f t="shared" si="19"/>
        <v>5 1012 21 03</v>
      </c>
      <c r="L104" s="177" t="s">
        <v>1370</v>
      </c>
      <c r="M104" s="178">
        <v>5</v>
      </c>
      <c r="N104" s="178">
        <v>2</v>
      </c>
      <c r="O104" s="178">
        <v>5</v>
      </c>
      <c r="P104" s="191">
        <f>IF(D104=4,VLOOKUP(C104,Szakmaszorzók!$B$2:$D$25,2,0),VLOOKUP(C104,Szakmaszorzók!$B$2:$D$25,3,0))</f>
        <v>2.42</v>
      </c>
      <c r="Q104" s="192">
        <f>'Támogatás szorzat tényezői'!$C$2*'Támogatás szorzat tényezői'!$C$3*N104*P104</f>
        <v>871200</v>
      </c>
      <c r="R104" s="192">
        <f>'Támogatás szorzat tényezői'!$C$2*'Támogatás szorzat tényezői'!$C$3*P104</f>
        <v>435600</v>
      </c>
    </row>
    <row r="105" spans="1:18" x14ac:dyDescent="0.25">
      <c r="A105" s="178">
        <v>54</v>
      </c>
      <c r="B105" s="287" t="str">
        <f t="shared" si="15"/>
        <v>Kőfaragó</v>
      </c>
      <c r="C105" s="178" t="s">
        <v>1282</v>
      </c>
      <c r="D105" s="178">
        <v>4</v>
      </c>
      <c r="E105" s="178">
        <v>732</v>
      </c>
      <c r="F105" s="178">
        <v>6</v>
      </c>
      <c r="G105" s="178">
        <v>7</v>
      </c>
      <c r="H105" s="178" t="str">
        <f t="shared" si="16"/>
        <v>0732</v>
      </c>
      <c r="I105" s="178" t="str">
        <f t="shared" si="17"/>
        <v>06</v>
      </c>
      <c r="J105" s="178" t="str">
        <f t="shared" si="18"/>
        <v>07</v>
      </c>
      <c r="K105" s="178" t="str">
        <f t="shared" si="19"/>
        <v>4 0732 06 07</v>
      </c>
      <c r="L105" s="177" t="s">
        <v>717</v>
      </c>
      <c r="M105" s="178">
        <v>3</v>
      </c>
      <c r="N105" s="178">
        <v>2</v>
      </c>
      <c r="O105" s="178">
        <v>4</v>
      </c>
      <c r="P105" s="191">
        <f>IF(D105=4,VLOOKUP(C105,Szakmaszorzók!$B$2:$D$25,2,0),VLOOKUP(C105,Szakmaszorzók!$B$2:$D$25,3,0))</f>
        <v>2.42</v>
      </c>
      <c r="Q105" s="192">
        <f>'Támogatás szorzat tényezői'!$C$2*'Támogatás szorzat tényezői'!$C$3*N105*P105</f>
        <v>871200</v>
      </c>
      <c r="R105" s="192">
        <f>'Támogatás szorzat tényezői'!$C$2*'Támogatás szorzat tényezői'!$C$3*P105</f>
        <v>435600</v>
      </c>
    </row>
    <row r="106" spans="1:18" x14ac:dyDescent="0.25">
      <c r="A106" s="178">
        <v>55</v>
      </c>
      <c r="B106" s="287" t="str">
        <f t="shared" si="15"/>
        <v>Kőműves</v>
      </c>
      <c r="C106" s="178" t="s">
        <v>1282</v>
      </c>
      <c r="D106" s="178">
        <v>4</v>
      </c>
      <c r="E106" s="178">
        <v>732</v>
      </c>
      <c r="F106" s="178">
        <v>6</v>
      </c>
      <c r="G106" s="178">
        <v>8</v>
      </c>
      <c r="H106" s="178" t="str">
        <f t="shared" si="16"/>
        <v>0732</v>
      </c>
      <c r="I106" s="178" t="str">
        <f t="shared" si="17"/>
        <v>06</v>
      </c>
      <c r="J106" s="178" t="str">
        <f t="shared" si="18"/>
        <v>08</v>
      </c>
      <c r="K106" s="178" t="str">
        <f t="shared" si="19"/>
        <v>4 0732 06 08</v>
      </c>
      <c r="L106" s="177" t="s">
        <v>246</v>
      </c>
      <c r="M106" s="178">
        <v>3</v>
      </c>
      <c r="N106" s="178">
        <v>2</v>
      </c>
      <c r="O106" s="178">
        <v>4</v>
      </c>
      <c r="P106" s="191">
        <f>IF(D106=4,VLOOKUP(C106,Szakmaszorzók!$B$2:$D$25,2,0),VLOOKUP(C106,Szakmaszorzók!$B$2:$D$25,3,0))</f>
        <v>2.42</v>
      </c>
      <c r="Q106" s="192">
        <f>'Támogatás szorzat tényezői'!$C$2*'Támogatás szorzat tényezői'!$C$3*N106*P106</f>
        <v>871200</v>
      </c>
      <c r="R106" s="192">
        <f>'Támogatás szorzat tényezői'!$C$2*'Támogatás szorzat tényezői'!$C$3*P106</f>
        <v>435600</v>
      </c>
    </row>
    <row r="107" spans="1:18" x14ac:dyDescent="0.25">
      <c r="A107" s="178">
        <v>114</v>
      </c>
      <c r="B107" s="287" t="str">
        <f t="shared" si="15"/>
        <v>Könnyűipari technikus</v>
      </c>
      <c r="C107" s="178" t="s">
        <v>1298</v>
      </c>
      <c r="D107" s="178">
        <v>5</v>
      </c>
      <c r="E107" s="178">
        <v>723</v>
      </c>
      <c r="F107" s="178">
        <v>16</v>
      </c>
      <c r="G107" s="178">
        <v>5</v>
      </c>
      <c r="H107" s="178" t="str">
        <f t="shared" si="16"/>
        <v>0723</v>
      </c>
      <c r="I107" s="178">
        <f t="shared" si="17"/>
        <v>16</v>
      </c>
      <c r="J107" s="178" t="str">
        <f t="shared" si="18"/>
        <v>05</v>
      </c>
      <c r="K107" s="178" t="str">
        <f t="shared" si="19"/>
        <v>5 0723 16 05</v>
      </c>
      <c r="L107" s="177" t="s">
        <v>1371</v>
      </c>
      <c r="M107" s="178">
        <v>5</v>
      </c>
      <c r="N107" s="178">
        <v>2</v>
      </c>
      <c r="O107" s="178">
        <v>5</v>
      </c>
      <c r="P107" s="191">
        <f>IF(D107=4,VLOOKUP(C107,Szakmaszorzók!$B$2:$D$25,2,0),VLOOKUP(C107,Szakmaszorzók!$B$2:$D$25,3,0))</f>
        <v>2.42</v>
      </c>
      <c r="Q107" s="192">
        <f>'Támogatás szorzat tényezői'!$C$2*'Támogatás szorzat tényezői'!$C$3*N107*P107</f>
        <v>871200</v>
      </c>
      <c r="R107" s="192">
        <f>'Támogatás szorzat tényezői'!$C$2*'Támogatás szorzat tényezői'!$C$3*P107</f>
        <v>435600</v>
      </c>
    </row>
    <row r="108" spans="1:18" x14ac:dyDescent="0.25">
      <c r="A108" s="178">
        <v>99</v>
      </c>
      <c r="B108" s="287" t="str">
        <f t="shared" si="15"/>
        <v>Környezetvédelmi technikus</v>
      </c>
      <c r="C108" s="178" t="s">
        <v>1347</v>
      </c>
      <c r="D108" s="178">
        <v>5</v>
      </c>
      <c r="E108" s="178">
        <v>712</v>
      </c>
      <c r="F108" s="178">
        <v>14</v>
      </c>
      <c r="G108" s="178">
        <v>2</v>
      </c>
      <c r="H108" s="178" t="str">
        <f t="shared" si="16"/>
        <v>0712</v>
      </c>
      <c r="I108" s="178">
        <f t="shared" si="17"/>
        <v>14</v>
      </c>
      <c r="J108" s="178" t="str">
        <f t="shared" si="18"/>
        <v>02</v>
      </c>
      <c r="K108" s="178" t="str">
        <f t="shared" si="19"/>
        <v>5 0712 14 02</v>
      </c>
      <c r="L108" s="177" t="s">
        <v>208</v>
      </c>
      <c r="M108" s="178">
        <v>5</v>
      </c>
      <c r="N108" s="178">
        <v>2</v>
      </c>
      <c r="O108" s="178">
        <v>6</v>
      </c>
      <c r="P108" s="191">
        <f>IF(D108=4,VLOOKUP(C108,Szakmaszorzók!$B$2:$D$25,2,0),VLOOKUP(C108,Szakmaszorzók!$B$2:$D$25,3,0))</f>
        <v>2.85</v>
      </c>
      <c r="Q108" s="192">
        <f>'Támogatás szorzat tényezői'!$C$2*'Támogatás szorzat tényezői'!$C$3*N108*P108</f>
        <v>1026000</v>
      </c>
      <c r="R108" s="192">
        <f>'Támogatás szorzat tényezői'!$C$2*'Támogatás szorzat tényezői'!$C$3*P108</f>
        <v>513000</v>
      </c>
    </row>
    <row r="109" spans="1:18" x14ac:dyDescent="0.25">
      <c r="A109" s="178">
        <v>28</v>
      </c>
      <c r="B109" s="287" t="str">
        <f t="shared" si="15"/>
        <v>Közlekedés-automatikai technikus</v>
      </c>
      <c r="C109" s="178" t="s">
        <v>1290</v>
      </c>
      <c r="D109" s="178">
        <v>5</v>
      </c>
      <c r="E109" s="178">
        <v>714</v>
      </c>
      <c r="F109" s="178">
        <v>4</v>
      </c>
      <c r="G109" s="178">
        <v>6</v>
      </c>
      <c r="H109" s="178" t="str">
        <f t="shared" si="16"/>
        <v>0714</v>
      </c>
      <c r="I109" s="178" t="str">
        <f t="shared" si="17"/>
        <v>04</v>
      </c>
      <c r="J109" s="178" t="str">
        <f t="shared" si="18"/>
        <v>06</v>
      </c>
      <c r="K109" s="178" t="str">
        <f t="shared" si="19"/>
        <v>5 0714 04 06</v>
      </c>
      <c r="L109" s="177" t="s">
        <v>1976</v>
      </c>
      <c r="M109" s="178">
        <v>5</v>
      </c>
      <c r="N109" s="178">
        <v>2</v>
      </c>
      <c r="O109" s="178">
        <v>7</v>
      </c>
      <c r="P109" s="191">
        <f>IF(D109=4,VLOOKUP(C109,Szakmaszorzók!$B$2:$D$25,2,0),VLOOKUP(C109,Szakmaszorzók!$B$2:$D$25,3,0))</f>
        <v>2.85</v>
      </c>
      <c r="Q109" s="192">
        <f>'Támogatás szorzat tényezői'!$C$2*'Támogatás szorzat tényezői'!$C$3*N109*P109</f>
        <v>1026000</v>
      </c>
      <c r="R109" s="192">
        <f>'Támogatás szorzat tényezői'!$C$2*'Támogatás szorzat tényezői'!$C$3*P109</f>
        <v>513000</v>
      </c>
    </row>
    <row r="110" spans="1:18" x14ac:dyDescent="0.25">
      <c r="A110" s="178">
        <v>106</v>
      </c>
      <c r="B110" s="287" t="str">
        <f t="shared" si="15"/>
        <v>Közlekedés-üzemvitel-ellátó technikus</v>
      </c>
      <c r="C110" s="178" t="s">
        <v>1340</v>
      </c>
      <c r="D110" s="178">
        <v>5</v>
      </c>
      <c r="E110" s="178">
        <v>1041</v>
      </c>
      <c r="F110" s="178">
        <v>15</v>
      </c>
      <c r="G110" s="178">
        <v>5</v>
      </c>
      <c r="H110" s="178">
        <f t="shared" si="16"/>
        <v>1041</v>
      </c>
      <c r="I110" s="178">
        <f t="shared" si="17"/>
        <v>15</v>
      </c>
      <c r="J110" s="178" t="str">
        <f t="shared" si="18"/>
        <v>05</v>
      </c>
      <c r="K110" s="178" t="str">
        <f t="shared" si="19"/>
        <v>5 1041 15 05</v>
      </c>
      <c r="L110" s="177" t="s">
        <v>1981</v>
      </c>
      <c r="M110" s="178">
        <v>5</v>
      </c>
      <c r="N110" s="178">
        <v>2</v>
      </c>
      <c r="O110" s="178">
        <v>6</v>
      </c>
      <c r="P110" s="191">
        <f>IF(D110=4,VLOOKUP(C110,Szakmaszorzók!$B$2:$D$25,2,0),VLOOKUP(C110,Szakmaszorzók!$B$2:$D$25,3,0))</f>
        <v>2.2000000000000002</v>
      </c>
      <c r="Q110" s="192">
        <f>'Támogatás szorzat tényezői'!$C$2*'Támogatás szorzat tényezői'!$C$3*N110*P110</f>
        <v>792000.00000000012</v>
      </c>
      <c r="R110" s="192">
        <f>'Támogatás szorzat tényezői'!$C$2*'Támogatás szorzat tényezői'!$C$3*P110</f>
        <v>396000.00000000006</v>
      </c>
    </row>
    <row r="111" spans="1:18" x14ac:dyDescent="0.25">
      <c r="A111" s="178">
        <v>66</v>
      </c>
      <c r="B111" s="287" t="str">
        <f t="shared" si="15"/>
        <v>Központifűtés- és gázhálózat-rendszer-szerelő</v>
      </c>
      <c r="C111" s="178" t="s">
        <v>1315</v>
      </c>
      <c r="D111" s="178">
        <v>4</v>
      </c>
      <c r="E111" s="178">
        <v>732</v>
      </c>
      <c r="F111" s="178">
        <v>7</v>
      </c>
      <c r="G111" s="178">
        <v>3</v>
      </c>
      <c r="H111" s="178" t="str">
        <f t="shared" si="16"/>
        <v>0732</v>
      </c>
      <c r="I111" s="178" t="str">
        <f t="shared" si="17"/>
        <v>07</v>
      </c>
      <c r="J111" s="178" t="str">
        <f t="shared" si="18"/>
        <v>03</v>
      </c>
      <c r="K111" s="178" t="str">
        <f t="shared" si="19"/>
        <v>4 0732 07 03</v>
      </c>
      <c r="L111" s="177" t="s">
        <v>1978</v>
      </c>
      <c r="M111" s="178">
        <v>3</v>
      </c>
      <c r="N111" s="178">
        <v>2</v>
      </c>
      <c r="O111" s="178">
        <v>5</v>
      </c>
      <c r="P111" s="191">
        <f>IF(D111=4,VLOOKUP(C111,Szakmaszorzók!$B$2:$D$25,2,0),VLOOKUP(C111,Szakmaszorzók!$B$2:$D$25,3,0))</f>
        <v>2.42</v>
      </c>
      <c r="Q111" s="192">
        <f>'Támogatás szorzat tényezői'!$C$2*'Támogatás szorzat tényezői'!$C$3*N111*P111</f>
        <v>871200</v>
      </c>
      <c r="R111" s="192">
        <f>'Támogatás szorzat tényezői'!$C$2*'Támogatás szorzat tényezői'!$C$3*P111</f>
        <v>435600</v>
      </c>
    </row>
    <row r="112" spans="1:18" x14ac:dyDescent="0.25">
      <c r="A112" s="178">
        <v>133</v>
      </c>
      <c r="B112" s="287" t="str">
        <f t="shared" si="15"/>
        <v>Közszolgálati technikus</v>
      </c>
      <c r="C112" s="178" t="s">
        <v>1373</v>
      </c>
      <c r="D112" s="178">
        <v>5</v>
      </c>
      <c r="E112" s="178">
        <v>413</v>
      </c>
      <c r="F112" s="178">
        <v>18</v>
      </c>
      <c r="G112" s="178">
        <v>1</v>
      </c>
      <c r="H112" s="178" t="str">
        <f t="shared" si="16"/>
        <v>0413</v>
      </c>
      <c r="I112" s="178">
        <f t="shared" si="17"/>
        <v>18</v>
      </c>
      <c r="J112" s="178" t="str">
        <f t="shared" si="18"/>
        <v>01</v>
      </c>
      <c r="K112" s="178" t="str">
        <f t="shared" si="19"/>
        <v>5 0413 18 01</v>
      </c>
      <c r="L112" s="177" t="s">
        <v>1372</v>
      </c>
      <c r="M112" s="178">
        <v>5</v>
      </c>
      <c r="N112" s="178">
        <v>2</v>
      </c>
      <c r="O112" s="178">
        <v>6</v>
      </c>
      <c r="P112" s="191">
        <f>IF(D112=4,VLOOKUP(C112,Szakmaszorzók!$B$2:$D$25,2,0),VLOOKUP(C112,Szakmaszorzók!$B$2:$D$25,3,0))</f>
        <v>2.2000000000000002</v>
      </c>
      <c r="Q112" s="192">
        <f>'Támogatás szorzat tényezői'!$C$2*'Támogatás szorzat tényezői'!$C$3*N112*P112</f>
        <v>792000.00000000012</v>
      </c>
      <c r="R112" s="192">
        <f>'Támogatás szorzat tényezői'!$C$2*'Támogatás szorzat tényezői'!$C$3*P112</f>
        <v>396000.00000000006</v>
      </c>
    </row>
    <row r="113" spans="1:18" x14ac:dyDescent="0.25">
      <c r="A113" s="178">
        <v>82</v>
      </c>
      <c r="B113" s="287" t="str">
        <f t="shared" si="15"/>
        <v>Légijármű-műszerész technikus</v>
      </c>
      <c r="C113" s="178" t="s">
        <v>1301</v>
      </c>
      <c r="D113" s="178">
        <v>5</v>
      </c>
      <c r="E113" s="178">
        <v>716</v>
      </c>
      <c r="F113" s="178">
        <v>10</v>
      </c>
      <c r="G113" s="178">
        <v>10</v>
      </c>
      <c r="H113" s="178" t="str">
        <f t="shared" si="16"/>
        <v>0716</v>
      </c>
      <c r="I113" s="178">
        <f t="shared" si="17"/>
        <v>10</v>
      </c>
      <c r="J113" s="178">
        <f t="shared" si="18"/>
        <v>10</v>
      </c>
      <c r="K113" s="178" t="str">
        <f t="shared" si="19"/>
        <v>5 0716 10 10</v>
      </c>
      <c r="L113" s="177" t="s">
        <v>1375</v>
      </c>
      <c r="M113" s="178">
        <v>5</v>
      </c>
      <c r="N113" s="178">
        <v>2</v>
      </c>
      <c r="O113" s="178">
        <v>6</v>
      </c>
      <c r="P113" s="191">
        <f>IF(D113=4,VLOOKUP(C113,Szakmaszorzók!$B$2:$D$25,2,0),VLOOKUP(C113,Szakmaszorzók!$B$2:$D$25,3,0))</f>
        <v>2.85</v>
      </c>
      <c r="Q113" s="192">
        <f>'Támogatás szorzat tényezői'!$C$2*'Támogatás szorzat tényezői'!$C$3*N113*P113</f>
        <v>1026000</v>
      </c>
      <c r="R113" s="192">
        <f>'Támogatás szorzat tényezői'!$C$2*'Támogatás szorzat tényezői'!$C$3*P113</f>
        <v>513000</v>
      </c>
    </row>
    <row r="114" spans="1:18" x14ac:dyDescent="0.25">
      <c r="A114" s="178">
        <v>83</v>
      </c>
      <c r="B114" s="287" t="str">
        <f t="shared" si="15"/>
        <v>Légijármű-szerelő technikus</v>
      </c>
      <c r="C114" s="178" t="s">
        <v>1301</v>
      </c>
      <c r="D114" s="178">
        <v>5</v>
      </c>
      <c r="E114" s="178">
        <v>716</v>
      </c>
      <c r="F114" s="178">
        <v>10</v>
      </c>
      <c r="G114" s="178">
        <v>11</v>
      </c>
      <c r="H114" s="178" t="str">
        <f t="shared" si="16"/>
        <v>0716</v>
      </c>
      <c r="I114" s="178">
        <f t="shared" si="17"/>
        <v>10</v>
      </c>
      <c r="J114" s="178">
        <f t="shared" si="18"/>
        <v>11</v>
      </c>
      <c r="K114" s="178" t="str">
        <f t="shared" si="19"/>
        <v>5 0716 10 11</v>
      </c>
      <c r="L114" s="177" t="s">
        <v>1376</v>
      </c>
      <c r="M114" s="178">
        <v>5</v>
      </c>
      <c r="N114" s="178">
        <v>2</v>
      </c>
      <c r="O114" s="178">
        <v>6</v>
      </c>
      <c r="P114" s="191">
        <f>IF(D114=4,VLOOKUP(C114,Szakmaszorzók!$B$2:$D$25,2,0),VLOOKUP(C114,Szakmaszorzók!$B$2:$D$25,3,0))</f>
        <v>2.85</v>
      </c>
      <c r="Q114" s="192">
        <f>'Támogatás szorzat tényezői'!$C$2*'Támogatás szorzat tényezői'!$C$3*N114*P114</f>
        <v>1026000</v>
      </c>
      <c r="R114" s="192">
        <f>'Támogatás szorzat tényezői'!$C$2*'Támogatás szorzat tényezői'!$C$3*P114</f>
        <v>513000</v>
      </c>
    </row>
    <row r="115" spans="1:18" x14ac:dyDescent="0.25">
      <c r="A115" s="178">
        <v>107</v>
      </c>
      <c r="B115" s="287" t="str">
        <f t="shared" si="15"/>
        <v>Logisztikai technikus</v>
      </c>
      <c r="C115" s="178" t="s">
        <v>1340</v>
      </c>
      <c r="D115" s="178">
        <v>5</v>
      </c>
      <c r="E115" s="178">
        <v>1041</v>
      </c>
      <c r="F115" s="178">
        <v>15</v>
      </c>
      <c r="G115" s="178">
        <v>6</v>
      </c>
      <c r="H115" s="178">
        <f t="shared" si="16"/>
        <v>1041</v>
      </c>
      <c r="I115" s="178">
        <f t="shared" si="17"/>
        <v>15</v>
      </c>
      <c r="J115" s="178" t="str">
        <f t="shared" si="18"/>
        <v>06</v>
      </c>
      <c r="K115" s="178" t="str">
        <f t="shared" si="19"/>
        <v>5 1041 15 06</v>
      </c>
      <c r="L115" s="177" t="s">
        <v>1377</v>
      </c>
      <c r="M115" s="178">
        <v>5</v>
      </c>
      <c r="N115" s="178">
        <v>2</v>
      </c>
      <c r="O115" s="178">
        <v>6</v>
      </c>
      <c r="P115" s="191">
        <f>IF(D115=4,VLOOKUP(C115,Szakmaszorzók!$B$2:$D$25,2,0),VLOOKUP(C115,Szakmaszorzók!$B$2:$D$25,3,0))</f>
        <v>2.2000000000000002</v>
      </c>
      <c r="Q115" s="192">
        <f>'Támogatás szorzat tényezői'!$C$2*'Támogatás szorzat tényezői'!$C$3*N115*P115</f>
        <v>792000.00000000012</v>
      </c>
      <c r="R115" s="192">
        <f>'Támogatás szorzat tényezői'!$C$2*'Támogatás szorzat tényezői'!$C$3*P115</f>
        <v>396000.00000000006</v>
      </c>
    </row>
    <row r="116" spans="1:18" x14ac:dyDescent="0.25">
      <c r="A116" s="178">
        <v>56</v>
      </c>
      <c r="B116" s="287" t="str">
        <f t="shared" si="15"/>
        <v>Magasépítő technikus</v>
      </c>
      <c r="C116" s="178" t="s">
        <v>1282</v>
      </c>
      <c r="D116" s="178">
        <v>5</v>
      </c>
      <c r="E116" s="178">
        <v>732</v>
      </c>
      <c r="F116" s="178">
        <v>6</v>
      </c>
      <c r="G116" s="178">
        <v>9</v>
      </c>
      <c r="H116" s="178" t="str">
        <f t="shared" si="16"/>
        <v>0732</v>
      </c>
      <c r="I116" s="178" t="str">
        <f t="shared" si="17"/>
        <v>06</v>
      </c>
      <c r="J116" s="178" t="str">
        <f t="shared" si="18"/>
        <v>09</v>
      </c>
      <c r="K116" s="178" t="str">
        <f t="shared" si="19"/>
        <v>5 0732 06 09</v>
      </c>
      <c r="L116" s="177" t="s">
        <v>221</v>
      </c>
      <c r="M116" s="178">
        <v>5</v>
      </c>
      <c r="N116" s="178">
        <v>2</v>
      </c>
      <c r="O116" s="178">
        <v>5</v>
      </c>
      <c r="P116" s="191">
        <f>IF(D116=4,VLOOKUP(C116,Szakmaszorzók!$B$2:$D$25,2,0),VLOOKUP(C116,Szakmaszorzók!$B$2:$D$25,3,0))</f>
        <v>2.42</v>
      </c>
      <c r="Q116" s="192">
        <f>'Támogatás szorzat tényezői'!$C$2*'Támogatás szorzat tényezői'!$C$3*N116*P116</f>
        <v>871200</v>
      </c>
      <c r="R116" s="192">
        <f>'Támogatás szorzat tényezői'!$C$2*'Támogatás szorzat tényezői'!$C$3*P116</f>
        <v>435600</v>
      </c>
    </row>
    <row r="117" spans="1:18" x14ac:dyDescent="0.25">
      <c r="A117" s="178">
        <v>147</v>
      </c>
      <c r="B117" s="287" t="str">
        <f t="shared" si="15"/>
        <v>Mechatronikai technikus</v>
      </c>
      <c r="C117" s="178" t="s">
        <v>1287</v>
      </c>
      <c r="D117" s="178">
        <v>5</v>
      </c>
      <c r="E117" s="178">
        <v>714</v>
      </c>
      <c r="F117" s="178">
        <v>19</v>
      </c>
      <c r="G117" s="178">
        <v>12</v>
      </c>
      <c r="H117" s="178" t="str">
        <f t="shared" si="16"/>
        <v>0714</v>
      </c>
      <c r="I117" s="178">
        <f t="shared" si="17"/>
        <v>19</v>
      </c>
      <c r="J117" s="178">
        <f t="shared" si="18"/>
        <v>12</v>
      </c>
      <c r="K117" s="178" t="str">
        <f t="shared" si="19"/>
        <v>5 0714 19 12</v>
      </c>
      <c r="L117" s="177" t="s">
        <v>225</v>
      </c>
      <c r="M117" s="178">
        <v>5</v>
      </c>
      <c r="N117" s="178">
        <v>2</v>
      </c>
      <c r="O117" s="178">
        <v>6</v>
      </c>
      <c r="P117" s="191">
        <f>IF(D117=4,VLOOKUP(C117,Szakmaszorzók!$B$2:$D$25,2,0),VLOOKUP(C117,Szakmaszorzók!$B$2:$D$25,3,0))</f>
        <v>2.85</v>
      </c>
      <c r="Q117" s="192">
        <f>'Támogatás szorzat tényezői'!$C$2*'Támogatás szorzat tényezői'!$C$3*N117*P117</f>
        <v>1026000</v>
      </c>
      <c r="R117" s="192">
        <f>'Támogatás szorzat tényezői'!$C$2*'Támogatás szorzat tényezői'!$C$3*P117</f>
        <v>513000</v>
      </c>
    </row>
    <row r="118" spans="1:18" x14ac:dyDescent="0.25">
      <c r="A118" s="178">
        <v>148</v>
      </c>
      <c r="B118" s="287" t="str">
        <f t="shared" si="15"/>
        <v>Mechatronikus karbantartó</v>
      </c>
      <c r="C118" s="178" t="s">
        <v>1287</v>
      </c>
      <c r="D118" s="178">
        <v>4</v>
      </c>
      <c r="E118" s="178">
        <v>714</v>
      </c>
      <c r="F118" s="178">
        <v>19</v>
      </c>
      <c r="G118" s="178">
        <v>13</v>
      </c>
      <c r="H118" s="178" t="str">
        <f t="shared" si="16"/>
        <v>0714</v>
      </c>
      <c r="I118" s="178">
        <f t="shared" si="17"/>
        <v>19</v>
      </c>
      <c r="J118" s="178">
        <f t="shared" si="18"/>
        <v>13</v>
      </c>
      <c r="K118" s="178" t="str">
        <f t="shared" si="19"/>
        <v>4 0714 19 13</v>
      </c>
      <c r="L118" s="177" t="s">
        <v>1378</v>
      </c>
      <c r="M118" s="178">
        <v>3</v>
      </c>
      <c r="N118" s="178">
        <v>2</v>
      </c>
      <c r="O118" s="178">
        <v>5</v>
      </c>
      <c r="P118" s="191">
        <f>IF(D118=4,VLOOKUP(C118,Szakmaszorzók!$B$2:$D$25,2,0),VLOOKUP(C118,Szakmaszorzók!$B$2:$D$25,3,0))</f>
        <v>2.85</v>
      </c>
      <c r="Q118" s="192">
        <f>'Támogatás szorzat tényezői'!$C$2*'Támogatás szorzat tényezői'!$C$3*N118*P118</f>
        <v>1026000</v>
      </c>
      <c r="R118" s="192">
        <f>'Támogatás szorzat tényezői'!$C$2*'Támogatás szorzat tényezői'!$C$3*P118</f>
        <v>513000</v>
      </c>
    </row>
    <row r="119" spans="1:18" x14ac:dyDescent="0.25">
      <c r="A119" s="178">
        <v>57</v>
      </c>
      <c r="B119" s="287" t="str">
        <f t="shared" si="15"/>
        <v>Mélyépítő technikus</v>
      </c>
      <c r="C119" s="178" t="s">
        <v>1282</v>
      </c>
      <c r="D119" s="178">
        <v>5</v>
      </c>
      <c r="E119" s="178">
        <v>732</v>
      </c>
      <c r="F119" s="178">
        <v>6</v>
      </c>
      <c r="G119" s="178">
        <v>10</v>
      </c>
      <c r="H119" s="178" t="str">
        <f t="shared" si="16"/>
        <v>0732</v>
      </c>
      <c r="I119" s="178" t="str">
        <f t="shared" si="17"/>
        <v>06</v>
      </c>
      <c r="J119" s="178">
        <f t="shared" si="18"/>
        <v>10</v>
      </c>
      <c r="K119" s="178" t="str">
        <f t="shared" si="19"/>
        <v>5 0732 06 10</v>
      </c>
      <c r="L119" s="177" t="s">
        <v>228</v>
      </c>
      <c r="M119" s="178">
        <v>5</v>
      </c>
      <c r="N119" s="178">
        <v>2</v>
      </c>
      <c r="O119" s="178">
        <v>5</v>
      </c>
      <c r="P119" s="191">
        <f>IF(D119=4,VLOOKUP(C119,Szakmaszorzók!$B$2:$D$25,2,0),VLOOKUP(C119,Szakmaszorzók!$B$2:$D$25,3,0))</f>
        <v>2.42</v>
      </c>
      <c r="Q119" s="192">
        <f>'Támogatás szorzat tényezői'!$C$2*'Támogatás szorzat tényezői'!$C$3*N119*P119</f>
        <v>871200</v>
      </c>
      <c r="R119" s="192">
        <f>'Támogatás szorzat tényezői'!$C$2*'Támogatás szorzat tényezői'!$C$3*P119</f>
        <v>435600</v>
      </c>
    </row>
    <row r="120" spans="1:18" x14ac:dyDescent="0.25">
      <c r="A120" s="178" t="s">
        <v>1986</v>
      </c>
      <c r="B120" s="287" t="str">
        <f t="shared" si="15"/>
        <v>Mentőápoló</v>
      </c>
      <c r="C120" s="178" t="s">
        <v>1285</v>
      </c>
      <c r="D120" s="178">
        <v>5</v>
      </c>
      <c r="E120" s="178">
        <v>913</v>
      </c>
      <c r="F120" s="178">
        <v>3</v>
      </c>
      <c r="G120" s="178">
        <v>11</v>
      </c>
      <c r="H120" s="178" t="str">
        <f t="shared" si="16"/>
        <v>0913</v>
      </c>
      <c r="I120" s="178" t="str">
        <f t="shared" si="17"/>
        <v>03</v>
      </c>
      <c r="J120" s="178">
        <f t="shared" si="18"/>
        <v>11</v>
      </c>
      <c r="K120" s="178" t="str">
        <f t="shared" si="19"/>
        <v>5 0913 03 11</v>
      </c>
      <c r="L120" s="177" t="s">
        <v>231</v>
      </c>
      <c r="M120" s="178">
        <v>5</v>
      </c>
      <c r="N120" s="178">
        <v>2</v>
      </c>
      <c r="O120" s="178">
        <v>5</v>
      </c>
      <c r="P120" s="191">
        <f>IF(D120=4,VLOOKUP(C120,Szakmaszorzók!$B$2:$D$25,2,0),VLOOKUP(C120,Szakmaszorzók!$B$2:$D$25,3,0))</f>
        <v>2.2000000000000002</v>
      </c>
      <c r="Q120" s="192">
        <f>'Támogatás szorzat tényezői'!$C$2*'Támogatás szorzat tényezői'!$C$3*N120*P120</f>
        <v>792000.00000000012</v>
      </c>
      <c r="R120" s="192">
        <f>'Támogatás szorzat tényezői'!$C$2*'Támogatás szorzat tényezői'!$C$3*P120</f>
        <v>396000.00000000006</v>
      </c>
    </row>
    <row r="121" spans="1:18" x14ac:dyDescent="0.25">
      <c r="A121" s="178">
        <v>130</v>
      </c>
      <c r="B121" s="287" t="str">
        <f t="shared" si="15"/>
        <v>Mezőgazdasági gépész</v>
      </c>
      <c r="C121" s="178" t="s">
        <v>1316</v>
      </c>
      <c r="D121" s="178">
        <v>4</v>
      </c>
      <c r="E121" s="178">
        <v>810</v>
      </c>
      <c r="F121" s="178">
        <v>17</v>
      </c>
      <c r="G121" s="178">
        <v>7</v>
      </c>
      <c r="H121" s="178" t="str">
        <f t="shared" si="16"/>
        <v>0810</v>
      </c>
      <c r="I121" s="178">
        <f t="shared" si="17"/>
        <v>17</v>
      </c>
      <c r="J121" s="178" t="str">
        <f t="shared" si="18"/>
        <v>07</v>
      </c>
      <c r="K121" s="178" t="str">
        <f t="shared" si="19"/>
        <v>4 0810 17 07</v>
      </c>
      <c r="L121" s="177" t="s">
        <v>234</v>
      </c>
      <c r="M121" s="178">
        <v>3</v>
      </c>
      <c r="N121" s="178">
        <v>2</v>
      </c>
      <c r="O121" s="178">
        <v>4</v>
      </c>
      <c r="P121" s="191">
        <f>IF(D121=4,VLOOKUP(C121,Szakmaszorzók!$B$2:$D$25,2,0),VLOOKUP(C121,Szakmaszorzók!$B$2:$D$25,3,0))</f>
        <v>2.42</v>
      </c>
      <c r="Q121" s="192">
        <f>'Támogatás szorzat tényezői'!$C$2*'Támogatás szorzat tényezői'!$C$3*N121*P121</f>
        <v>871200</v>
      </c>
      <c r="R121" s="192">
        <f>'Támogatás szorzat tényezői'!$C$2*'Támogatás szorzat tényezői'!$C$3*P121</f>
        <v>435600</v>
      </c>
    </row>
    <row r="122" spans="1:18" x14ac:dyDescent="0.25">
      <c r="A122" s="178">
        <v>131</v>
      </c>
      <c r="B122" s="287" t="str">
        <f t="shared" si="15"/>
        <v>Mezőgazdasági gépésztechnikus</v>
      </c>
      <c r="C122" s="178" t="s">
        <v>1316</v>
      </c>
      <c r="D122" s="178">
        <v>5</v>
      </c>
      <c r="E122" s="178">
        <v>810</v>
      </c>
      <c r="F122" s="178">
        <v>17</v>
      </c>
      <c r="G122" s="178">
        <v>8</v>
      </c>
      <c r="H122" s="178" t="str">
        <f t="shared" si="16"/>
        <v>0810</v>
      </c>
      <c r="I122" s="178">
        <f t="shared" si="17"/>
        <v>17</v>
      </c>
      <c r="J122" s="178" t="str">
        <f t="shared" si="18"/>
        <v>08</v>
      </c>
      <c r="K122" s="178" t="str">
        <f t="shared" si="19"/>
        <v>5 0810 17 08</v>
      </c>
      <c r="L122" s="177" t="s">
        <v>235</v>
      </c>
      <c r="M122" s="178">
        <v>5</v>
      </c>
      <c r="N122" s="178">
        <v>2</v>
      </c>
      <c r="O122" s="178">
        <v>5</v>
      </c>
      <c r="P122" s="191">
        <f>IF(D122=4,VLOOKUP(C122,Szakmaszorzók!$B$2:$D$25,2,0),VLOOKUP(C122,Szakmaszorzók!$B$2:$D$25,3,0))</f>
        <v>2.85</v>
      </c>
      <c r="Q122" s="192">
        <f>'Támogatás szorzat tényezői'!$C$2*'Támogatás szorzat tényezői'!$C$3*N122*P122</f>
        <v>1026000</v>
      </c>
      <c r="R122" s="192">
        <f>'Támogatás szorzat tényezői'!$C$2*'Támogatás szorzat tényezői'!$C$3*P122</f>
        <v>513000</v>
      </c>
    </row>
    <row r="123" spans="1:18" x14ac:dyDescent="0.25">
      <c r="A123" s="178">
        <v>132</v>
      </c>
      <c r="B123" s="287" t="str">
        <f t="shared" si="15"/>
        <v>Mezőgazdasági technikus</v>
      </c>
      <c r="C123" s="178" t="s">
        <v>1316</v>
      </c>
      <c r="D123" s="178">
        <v>5</v>
      </c>
      <c r="E123" s="178">
        <v>811</v>
      </c>
      <c r="F123" s="178">
        <v>17</v>
      </c>
      <c r="G123" s="178">
        <v>9</v>
      </c>
      <c r="H123" s="178" t="str">
        <f t="shared" si="16"/>
        <v>0811</v>
      </c>
      <c r="I123" s="178">
        <f t="shared" si="17"/>
        <v>17</v>
      </c>
      <c r="J123" s="178" t="str">
        <f t="shared" si="18"/>
        <v>09</v>
      </c>
      <c r="K123" s="178" t="str">
        <f t="shared" si="19"/>
        <v>5 0811 17 09</v>
      </c>
      <c r="L123" s="177" t="s">
        <v>239</v>
      </c>
      <c r="M123" s="178">
        <v>5</v>
      </c>
      <c r="N123" s="178">
        <v>2</v>
      </c>
      <c r="O123" s="178">
        <v>5</v>
      </c>
      <c r="P123" s="191">
        <f>IF(D123=4,VLOOKUP(C123,Szakmaszorzók!$B$2:$D$25,2,0),VLOOKUP(C123,Szakmaszorzók!$B$2:$D$25,3,0))</f>
        <v>2.85</v>
      </c>
      <c r="Q123" s="192">
        <f>'Támogatás szorzat tényezői'!$C$2*'Támogatás szorzat tényezői'!$C$3*N123*P123</f>
        <v>1026000</v>
      </c>
      <c r="R123" s="192">
        <f>'Támogatás szorzat tényezői'!$C$2*'Támogatás szorzat tényezői'!$C$3*P123</f>
        <v>513000</v>
      </c>
    </row>
    <row r="124" spans="1:18" x14ac:dyDescent="0.25">
      <c r="A124" s="178">
        <v>119</v>
      </c>
      <c r="B124" s="287" t="str">
        <f t="shared" si="15"/>
        <v>Mozgókép- és animációkészítő</v>
      </c>
      <c r="C124" s="178" t="s">
        <v>1298</v>
      </c>
      <c r="D124" s="178">
        <v>5</v>
      </c>
      <c r="E124" s="178">
        <v>211</v>
      </c>
      <c r="F124" s="178">
        <v>16</v>
      </c>
      <c r="G124" s="178">
        <v>10</v>
      </c>
      <c r="H124" s="178" t="str">
        <f t="shared" si="16"/>
        <v>0211</v>
      </c>
      <c r="I124" s="178">
        <f t="shared" si="17"/>
        <v>16</v>
      </c>
      <c r="J124" s="178">
        <f t="shared" si="18"/>
        <v>10</v>
      </c>
      <c r="K124" s="178" t="str">
        <f t="shared" si="19"/>
        <v>5 0211 16 10</v>
      </c>
      <c r="L124" s="177" t="s">
        <v>243</v>
      </c>
      <c r="M124" s="178">
        <v>5</v>
      </c>
      <c r="N124" s="178">
        <v>2</v>
      </c>
      <c r="O124" s="178">
        <v>5</v>
      </c>
      <c r="P124" s="191">
        <f>IF(D124=4,VLOOKUP(C124,Szakmaszorzók!$B$2:$D$25,2,0),VLOOKUP(C124,Szakmaszorzók!$B$2:$D$25,3,0))</f>
        <v>2.42</v>
      </c>
      <c r="Q124" s="192">
        <f>'Támogatás szorzat tényezői'!$C$2*'Támogatás szorzat tényezői'!$C$3*N124*P124</f>
        <v>871200</v>
      </c>
      <c r="R124" s="192">
        <f>'Támogatás szorzat tényezői'!$C$2*'Támogatás szorzat tényezői'!$C$3*P124</f>
        <v>435600</v>
      </c>
    </row>
    <row r="125" spans="1:18" x14ac:dyDescent="0.25">
      <c r="A125" s="178">
        <v>171</v>
      </c>
      <c r="B125" s="287" t="str">
        <f t="shared" si="15"/>
        <v>Műanyag-feldolgozó</v>
      </c>
      <c r="C125" s="178" t="s">
        <v>1280</v>
      </c>
      <c r="D125" s="178">
        <v>4</v>
      </c>
      <c r="E125" s="178">
        <v>722</v>
      </c>
      <c r="F125" s="178">
        <v>24</v>
      </c>
      <c r="G125" s="178">
        <v>4</v>
      </c>
      <c r="H125" s="178" t="str">
        <f t="shared" si="16"/>
        <v>0722</v>
      </c>
      <c r="I125" s="178">
        <f t="shared" si="17"/>
        <v>24</v>
      </c>
      <c r="J125" s="178" t="str">
        <f t="shared" si="18"/>
        <v>04</v>
      </c>
      <c r="K125" s="178" t="str">
        <f t="shared" si="19"/>
        <v>4 0722 24 04</v>
      </c>
      <c r="L125" s="177" t="s">
        <v>1379</v>
      </c>
      <c r="M125" s="178">
        <v>3</v>
      </c>
      <c r="N125" s="178">
        <v>2</v>
      </c>
      <c r="O125" s="178">
        <v>4</v>
      </c>
      <c r="P125" s="191">
        <f>IF(D125=4,VLOOKUP(C125,Szakmaszorzók!$B$2:$D$25,2,0),VLOOKUP(C125,Szakmaszorzók!$B$2:$D$25,3,0))</f>
        <v>2.42</v>
      </c>
      <c r="Q125" s="192">
        <f>'Támogatás szorzat tényezői'!$C$2*'Támogatás szorzat tényezői'!$C$3*N125*P125</f>
        <v>871200</v>
      </c>
      <c r="R125" s="192">
        <f>'Támogatás szorzat tényezői'!$C$2*'Támogatás szorzat tényezői'!$C$3*P125</f>
        <v>435600</v>
      </c>
    </row>
    <row r="126" spans="1:18" x14ac:dyDescent="0.25">
      <c r="A126" s="178">
        <v>172</v>
      </c>
      <c r="B126" s="287" t="str">
        <f t="shared" si="15"/>
        <v>Műanyag-feldolgozó technikus</v>
      </c>
      <c r="C126" s="178" t="s">
        <v>1280</v>
      </c>
      <c r="D126" s="178">
        <v>5</v>
      </c>
      <c r="E126" s="178">
        <v>722</v>
      </c>
      <c r="F126" s="178">
        <v>24</v>
      </c>
      <c r="G126" s="178">
        <v>5</v>
      </c>
      <c r="H126" s="178" t="str">
        <f t="shared" si="16"/>
        <v>0722</v>
      </c>
      <c r="I126" s="178">
        <f t="shared" si="17"/>
        <v>24</v>
      </c>
      <c r="J126" s="178" t="str">
        <f t="shared" si="18"/>
        <v>05</v>
      </c>
      <c r="K126" s="178" t="str">
        <f t="shared" si="19"/>
        <v>5 0722 24 05</v>
      </c>
      <c r="L126" s="177" t="s">
        <v>1380</v>
      </c>
      <c r="M126" s="178">
        <v>5</v>
      </c>
      <c r="N126" s="178">
        <v>2</v>
      </c>
      <c r="O126" s="178">
        <v>5</v>
      </c>
      <c r="P126" s="191">
        <f>IF(D126=4,VLOOKUP(C126,Szakmaszorzók!$B$2:$D$25,2,0),VLOOKUP(C126,Szakmaszorzók!$B$2:$D$25,3,0))</f>
        <v>2.85</v>
      </c>
      <c r="Q126" s="192">
        <f>'Támogatás szorzat tényezői'!$C$2*'Támogatás szorzat tényezői'!$C$3*N126*P126</f>
        <v>1026000</v>
      </c>
      <c r="R126" s="192">
        <f>'Támogatás szorzat tényezői'!$C$2*'Támogatás szorzat tényezői'!$C$3*P126</f>
        <v>513000</v>
      </c>
    </row>
    <row r="127" spans="1:18" x14ac:dyDescent="0.25">
      <c r="A127" s="178">
        <v>120</v>
      </c>
      <c r="B127" s="287" t="str">
        <f t="shared" si="15"/>
        <v>Nyomdaipari technikus</v>
      </c>
      <c r="C127" s="178" t="s">
        <v>1298</v>
      </c>
      <c r="D127" s="178">
        <v>5</v>
      </c>
      <c r="E127" s="178">
        <v>211</v>
      </c>
      <c r="F127" s="178">
        <v>16</v>
      </c>
      <c r="G127" s="178">
        <v>11</v>
      </c>
      <c r="H127" s="178" t="str">
        <f t="shared" si="16"/>
        <v>0211</v>
      </c>
      <c r="I127" s="178">
        <f t="shared" si="17"/>
        <v>16</v>
      </c>
      <c r="J127" s="178">
        <f t="shared" si="18"/>
        <v>11</v>
      </c>
      <c r="K127" s="178" t="str">
        <f t="shared" si="19"/>
        <v>5 0211 16 11</v>
      </c>
      <c r="L127" s="177" t="s">
        <v>292</v>
      </c>
      <c r="M127" s="178">
        <v>5</v>
      </c>
      <c r="N127" s="178">
        <v>2</v>
      </c>
      <c r="O127" s="178">
        <v>5</v>
      </c>
      <c r="P127" s="191">
        <f>IF(D127=4,VLOOKUP(C127,Szakmaszorzók!$B$2:$D$25,2,0),VLOOKUP(C127,Szakmaszorzók!$B$2:$D$25,3,0))</f>
        <v>2.42</v>
      </c>
      <c r="Q127" s="192">
        <f>'Támogatás szorzat tényezői'!$C$2*'Támogatás szorzat tényezői'!$C$3*N127*P127</f>
        <v>871200</v>
      </c>
      <c r="R127" s="192">
        <f>'Támogatás szorzat tényezői'!$C$2*'Támogatás szorzat tényezői'!$C$3*P127</f>
        <v>435600</v>
      </c>
    </row>
    <row r="128" spans="1:18" x14ac:dyDescent="0.25">
      <c r="A128" s="178">
        <v>121</v>
      </c>
      <c r="B128" s="287" t="str">
        <f t="shared" si="15"/>
        <v>Nyomdász</v>
      </c>
      <c r="C128" s="178" t="s">
        <v>1298</v>
      </c>
      <c r="D128" s="178">
        <v>4</v>
      </c>
      <c r="E128" s="178">
        <v>211</v>
      </c>
      <c r="F128" s="178">
        <v>16</v>
      </c>
      <c r="G128" s="178">
        <v>12</v>
      </c>
      <c r="H128" s="178" t="str">
        <f t="shared" si="16"/>
        <v>0211</v>
      </c>
      <c r="I128" s="178">
        <f t="shared" si="17"/>
        <v>16</v>
      </c>
      <c r="J128" s="178">
        <f t="shared" si="18"/>
        <v>12</v>
      </c>
      <c r="K128" s="178" t="str">
        <f t="shared" si="19"/>
        <v>4 0211 16 12</v>
      </c>
      <c r="L128" s="177" t="s">
        <v>1381</v>
      </c>
      <c r="M128" s="178">
        <v>3</v>
      </c>
      <c r="N128" s="178">
        <v>2</v>
      </c>
      <c r="O128" s="178">
        <v>4</v>
      </c>
      <c r="P128" s="191">
        <f>IF(D128=4,VLOOKUP(C128,Szakmaszorzók!$B$2:$D$25,2,0),VLOOKUP(C128,Szakmaszorzók!$B$2:$D$25,3,0))</f>
        <v>2.42</v>
      </c>
      <c r="Q128" s="192">
        <f>'Támogatás szorzat tényezői'!$C$2*'Támogatás szorzat tényezői'!$C$3*N128*P128</f>
        <v>871200</v>
      </c>
      <c r="R128" s="192">
        <f>'Támogatás szorzat tényezői'!$C$2*'Támogatás szorzat tényezői'!$C$3*P128</f>
        <v>435600</v>
      </c>
    </row>
    <row r="129" spans="1:18" x14ac:dyDescent="0.25">
      <c r="A129" s="178">
        <v>11</v>
      </c>
      <c r="B129" s="287" t="str">
        <f t="shared" si="15"/>
        <v>Optikaitermék-készítő</v>
      </c>
      <c r="C129" s="178" t="s">
        <v>1328</v>
      </c>
      <c r="D129" s="178">
        <v>4</v>
      </c>
      <c r="E129" s="178">
        <v>914</v>
      </c>
      <c r="F129" s="178">
        <v>2</v>
      </c>
      <c r="G129" s="178">
        <v>2</v>
      </c>
      <c r="H129" s="178" t="str">
        <f t="shared" si="16"/>
        <v>0914</v>
      </c>
      <c r="I129" s="178" t="str">
        <f t="shared" si="17"/>
        <v>02</v>
      </c>
      <c r="J129" s="178" t="str">
        <f t="shared" si="18"/>
        <v>02</v>
      </c>
      <c r="K129" s="178" t="str">
        <f t="shared" si="19"/>
        <v>4 0914 02 02</v>
      </c>
      <c r="L129" s="177" t="s">
        <v>1382</v>
      </c>
      <c r="M129" s="178">
        <v>3</v>
      </c>
      <c r="N129" s="178">
        <v>2</v>
      </c>
      <c r="O129" s="178">
        <v>5</v>
      </c>
      <c r="P129" s="191">
        <f>IF(D129=4,VLOOKUP(C129,Szakmaszorzók!$B$2:$D$25,2,0),VLOOKUP(C129,Szakmaszorzók!$B$2:$D$25,3,0))</f>
        <v>2.85</v>
      </c>
      <c r="Q129" s="192">
        <f>'Támogatás szorzat tényezői'!$C$2*'Támogatás szorzat tényezői'!$C$3*N129*P129</f>
        <v>1026000</v>
      </c>
      <c r="R129" s="192">
        <f>'Támogatás szorzat tényezői'!$C$2*'Támogatás szorzat tényezői'!$C$3*P129</f>
        <v>513000</v>
      </c>
    </row>
    <row r="130" spans="1:18" x14ac:dyDescent="0.25">
      <c r="A130" s="178">
        <v>12</v>
      </c>
      <c r="B130" s="287" t="str">
        <f t="shared" si="15"/>
        <v>Optikus</v>
      </c>
      <c r="C130" s="178" t="s">
        <v>1328</v>
      </c>
      <c r="D130" s="178">
        <v>5</v>
      </c>
      <c r="E130" s="178">
        <v>914</v>
      </c>
      <c r="F130" s="178">
        <v>2</v>
      </c>
      <c r="G130" s="178">
        <v>3</v>
      </c>
      <c r="H130" s="178" t="str">
        <f t="shared" si="16"/>
        <v>0914</v>
      </c>
      <c r="I130" s="178" t="str">
        <f t="shared" si="17"/>
        <v>02</v>
      </c>
      <c r="J130" s="178" t="str">
        <f t="shared" si="18"/>
        <v>03</v>
      </c>
      <c r="K130" s="178" t="str">
        <f t="shared" si="19"/>
        <v>5 0914 02 03</v>
      </c>
      <c r="L130" s="177" t="s">
        <v>1383</v>
      </c>
      <c r="M130" s="178" t="s">
        <v>374</v>
      </c>
      <c r="N130" s="178">
        <v>2</v>
      </c>
      <c r="O130" s="178">
        <v>6</v>
      </c>
      <c r="P130" s="191">
        <f>IF(D130=4,VLOOKUP(C130,Szakmaszorzók!$B$2:$D$25,2,0),VLOOKUP(C130,Szakmaszorzók!$B$2:$D$25,3,0))</f>
        <v>2.85</v>
      </c>
      <c r="Q130" s="192">
        <f>'Támogatás szorzat tényezői'!$C$2*'Támogatás szorzat tényezői'!$C$3*N130*P130</f>
        <v>1026000</v>
      </c>
      <c r="R130" s="192">
        <f>'Támogatás szorzat tényezői'!$C$2*'Támogatás szorzat tényezői'!$C$3*P130</f>
        <v>513000</v>
      </c>
    </row>
    <row r="131" spans="1:18" x14ac:dyDescent="0.25">
      <c r="A131" s="178">
        <v>18</v>
      </c>
      <c r="B131" s="287" t="str">
        <f t="shared" si="15"/>
        <v>Ortopédiai műszerész</v>
      </c>
      <c r="C131" s="178" t="s">
        <v>1285</v>
      </c>
      <c r="D131" s="178">
        <v>5</v>
      </c>
      <c r="E131" s="178">
        <v>915</v>
      </c>
      <c r="F131" s="178">
        <v>3</v>
      </c>
      <c r="G131" s="178">
        <v>6</v>
      </c>
      <c r="H131" s="178" t="str">
        <f t="shared" si="16"/>
        <v>0915</v>
      </c>
      <c r="I131" s="178" t="str">
        <f t="shared" si="17"/>
        <v>03</v>
      </c>
      <c r="J131" s="178" t="str">
        <f t="shared" si="18"/>
        <v>06</v>
      </c>
      <c r="K131" s="178" t="str">
        <f t="shared" si="19"/>
        <v>5 0915 03 06</v>
      </c>
      <c r="L131" s="177" t="s">
        <v>262</v>
      </c>
      <c r="M131" s="178" t="s">
        <v>764</v>
      </c>
      <c r="N131" s="178">
        <v>2</v>
      </c>
      <c r="O131" s="178">
        <v>5</v>
      </c>
      <c r="P131" s="191">
        <f>IF(D131=4,VLOOKUP(C131,Szakmaszorzók!$B$2:$D$25,2,0),VLOOKUP(C131,Szakmaszorzók!$B$2:$D$25,3,0))</f>
        <v>2.2000000000000002</v>
      </c>
      <c r="Q131" s="192">
        <f>'Támogatás szorzat tényezői'!$C$2*'Támogatás szorzat tényezői'!$C$3*N131*P131</f>
        <v>792000.00000000012</v>
      </c>
      <c r="R131" s="192">
        <f>'Támogatás szorzat tényezői'!$C$2*'Támogatás szorzat tényezői'!$C$3*P131</f>
        <v>396000.00000000006</v>
      </c>
    </row>
    <row r="132" spans="1:18" x14ac:dyDescent="0.25">
      <c r="A132" s="178">
        <v>9</v>
      </c>
      <c r="B132" s="287" t="str">
        <f t="shared" si="15"/>
        <v>Öntvénykészítő</v>
      </c>
      <c r="C132" s="178" t="s">
        <v>1293</v>
      </c>
      <c r="D132" s="178">
        <v>4</v>
      </c>
      <c r="E132" s="178">
        <v>715</v>
      </c>
      <c r="F132" s="178">
        <v>1</v>
      </c>
      <c r="G132" s="178">
        <v>7</v>
      </c>
      <c r="H132" s="178" t="str">
        <f t="shared" si="16"/>
        <v>0715</v>
      </c>
      <c r="I132" s="178" t="str">
        <f t="shared" si="17"/>
        <v>01</v>
      </c>
      <c r="J132" s="178" t="str">
        <f t="shared" si="18"/>
        <v>07</v>
      </c>
      <c r="K132" s="178" t="str">
        <f t="shared" si="19"/>
        <v>4 0715 01 07</v>
      </c>
      <c r="L132" s="177" t="s">
        <v>1385</v>
      </c>
      <c r="M132" s="178">
        <v>3</v>
      </c>
      <c r="N132" s="178">
        <v>2</v>
      </c>
      <c r="O132" s="178">
        <v>5</v>
      </c>
      <c r="P132" s="191">
        <f>IF(D132=4,VLOOKUP(C132,Szakmaszorzók!$B$2:$D$25,2,0),VLOOKUP(C132,Szakmaszorzók!$B$2:$D$25,3,0))</f>
        <v>2.42</v>
      </c>
      <c r="Q132" s="192">
        <f>'Támogatás szorzat tényezői'!$C$2*'Támogatás szorzat tényezői'!$C$3*N132*P132</f>
        <v>871200</v>
      </c>
      <c r="R132" s="192">
        <f>'Támogatás szorzat tényezői'!$C$2*'Támogatás szorzat tényezői'!$C$3*P132</f>
        <v>435600</v>
      </c>
    </row>
    <row r="133" spans="1:18" x14ac:dyDescent="0.25">
      <c r="A133" s="178">
        <v>162</v>
      </c>
      <c r="B133" s="287" t="str">
        <f t="shared" si="15"/>
        <v>Panziós-fogadós</v>
      </c>
      <c r="C133" s="178" t="s">
        <v>1303</v>
      </c>
      <c r="D133" s="178">
        <v>4</v>
      </c>
      <c r="E133" s="178">
        <v>1013</v>
      </c>
      <c r="F133" s="178">
        <v>23</v>
      </c>
      <c r="G133" s="178">
        <v>3</v>
      </c>
      <c r="H133" s="178">
        <f t="shared" si="16"/>
        <v>1013</v>
      </c>
      <c r="I133" s="178">
        <f t="shared" si="17"/>
        <v>23</v>
      </c>
      <c r="J133" s="178" t="str">
        <f t="shared" si="18"/>
        <v>03</v>
      </c>
      <c r="K133" s="178" t="str">
        <f t="shared" si="19"/>
        <v>4 1013 23 03</v>
      </c>
      <c r="L133" s="177" t="s">
        <v>1386</v>
      </c>
      <c r="M133" s="178">
        <v>3</v>
      </c>
      <c r="N133" s="178">
        <v>2</v>
      </c>
      <c r="O133" s="178">
        <v>6</v>
      </c>
      <c r="P133" s="191">
        <f>IF(D133=4,VLOOKUP(C133,Szakmaszorzók!$B$2:$D$25,2,0),VLOOKUP(C133,Szakmaszorzók!$B$2:$D$25,3,0))</f>
        <v>2.2000000000000002</v>
      </c>
      <c r="Q133" s="192">
        <f>'Támogatás szorzat tényezői'!$C$2*'Támogatás szorzat tényezői'!$C$3*N133*P133</f>
        <v>792000.00000000012</v>
      </c>
      <c r="R133" s="192">
        <f>'Támogatás szorzat tényezői'!$C$2*'Támogatás szorzat tényezői'!$C$3*P133</f>
        <v>396000.00000000006</v>
      </c>
    </row>
    <row r="134" spans="1:18" x14ac:dyDescent="0.25">
      <c r="A134" s="178">
        <v>173</v>
      </c>
      <c r="B134" s="287" t="str">
        <f t="shared" si="15"/>
        <v>Papírgyártó és -feldolgozó, csomagolószer-gyártó</v>
      </c>
      <c r="C134" s="178" t="s">
        <v>1280</v>
      </c>
      <c r="D134" s="178">
        <v>4</v>
      </c>
      <c r="E134" s="178">
        <v>722</v>
      </c>
      <c r="F134" s="178">
        <v>24</v>
      </c>
      <c r="G134" s="178">
        <v>6</v>
      </c>
      <c r="H134" s="178" t="str">
        <f t="shared" si="16"/>
        <v>0722</v>
      </c>
      <c r="I134" s="178">
        <f t="shared" si="17"/>
        <v>24</v>
      </c>
      <c r="J134" s="178" t="str">
        <f t="shared" si="18"/>
        <v>06</v>
      </c>
      <c r="K134" s="178" t="str">
        <f t="shared" si="19"/>
        <v>4 0722 24 06</v>
      </c>
      <c r="L134" s="177" t="s">
        <v>1387</v>
      </c>
      <c r="M134" s="178">
        <v>3</v>
      </c>
      <c r="N134" s="178">
        <v>2</v>
      </c>
      <c r="O134" s="178">
        <v>5</v>
      </c>
      <c r="P134" s="191">
        <f>IF(D134=4,VLOOKUP(C134,Szakmaszorzók!$B$2:$D$25,2,0),VLOOKUP(C134,Szakmaszorzók!$B$2:$D$25,3,0))</f>
        <v>2.42</v>
      </c>
      <c r="Q134" s="192">
        <f>'Támogatás szorzat tényezői'!$C$2*'Támogatás szorzat tényezői'!$C$3*N134*P134</f>
        <v>871200</v>
      </c>
      <c r="R134" s="192">
        <f>'Támogatás szorzat tényezői'!$C$2*'Támogatás szorzat tényezői'!$C$3*P134</f>
        <v>435600</v>
      </c>
    </row>
    <row r="135" spans="1:18" x14ac:dyDescent="0.25">
      <c r="A135" s="178">
        <v>174</v>
      </c>
      <c r="B135" s="287" t="str">
        <f t="shared" ref="B135:B166" si="20">L135</f>
        <v>Papírgyártó és -feldolgozó, csomagolószer-gyártó technikus</v>
      </c>
      <c r="C135" s="178" t="s">
        <v>1280</v>
      </c>
      <c r="D135" s="178">
        <v>5</v>
      </c>
      <c r="E135" s="178">
        <v>722</v>
      </c>
      <c r="F135" s="178">
        <v>24</v>
      </c>
      <c r="G135" s="178">
        <v>7</v>
      </c>
      <c r="H135" s="178" t="str">
        <f t="shared" ref="H135:H166" si="21">IF(E135&lt;1000,"0"&amp;E135,E135)</f>
        <v>0722</v>
      </c>
      <c r="I135" s="178">
        <f t="shared" ref="I135:I166" si="22">IF(F135&lt;10,"0"&amp;F135,F135)</f>
        <v>24</v>
      </c>
      <c r="J135" s="178" t="str">
        <f t="shared" ref="J135:J166" si="23">IF(G135&lt;10,"0"&amp;G135,G135)</f>
        <v>07</v>
      </c>
      <c r="K135" s="178" t="str">
        <f t="shared" ref="K135:K166" si="24">D135&amp;" "&amp;H135&amp;" "&amp;I135&amp;" "&amp;J135</f>
        <v>5 0722 24 07</v>
      </c>
      <c r="L135" s="177" t="s">
        <v>1388</v>
      </c>
      <c r="M135" s="178">
        <v>5</v>
      </c>
      <c r="N135" s="178">
        <v>2</v>
      </c>
      <c r="O135" s="178">
        <v>6</v>
      </c>
      <c r="P135" s="191">
        <f>IF(D135=4,VLOOKUP(C135,Szakmaszorzók!$B$2:$D$25,2,0),VLOOKUP(C135,Szakmaszorzók!$B$2:$D$25,3,0))</f>
        <v>2.85</v>
      </c>
      <c r="Q135" s="192">
        <f>'Támogatás szorzat tényezői'!$C$2*'Támogatás szorzat tényezői'!$C$3*N135*P135</f>
        <v>1026000</v>
      </c>
      <c r="R135" s="192">
        <f>'Támogatás szorzat tényezői'!$C$2*'Támogatás szorzat tényezői'!$C$3*P135</f>
        <v>513000</v>
      </c>
    </row>
    <row r="136" spans="1:18" x14ac:dyDescent="0.25">
      <c r="A136" s="178">
        <v>40</v>
      </c>
      <c r="B136" s="287" t="str">
        <f t="shared" si="20"/>
        <v>Pék</v>
      </c>
      <c r="C136" s="178" t="s">
        <v>1296</v>
      </c>
      <c r="D136" s="178">
        <v>4</v>
      </c>
      <c r="E136" s="178">
        <v>721</v>
      </c>
      <c r="F136" s="178">
        <v>5</v>
      </c>
      <c r="G136" s="178">
        <v>11</v>
      </c>
      <c r="H136" s="178" t="str">
        <f t="shared" si="21"/>
        <v>0721</v>
      </c>
      <c r="I136" s="178" t="str">
        <f t="shared" si="22"/>
        <v>05</v>
      </c>
      <c r="J136" s="178">
        <f t="shared" si="23"/>
        <v>11</v>
      </c>
      <c r="K136" s="178" t="str">
        <f t="shared" si="24"/>
        <v>4 0721 05 11</v>
      </c>
      <c r="L136" s="177" t="s">
        <v>269</v>
      </c>
      <c r="M136" s="178">
        <v>3</v>
      </c>
      <c r="N136" s="178">
        <v>2</v>
      </c>
      <c r="O136" s="178">
        <v>4</v>
      </c>
      <c r="P136" s="191">
        <f>IF(D136=4,VLOOKUP(C136,Szakmaszorzók!$B$2:$D$25,2,0),VLOOKUP(C136,Szakmaszorzók!$B$2:$D$25,3,0))</f>
        <v>2.2000000000000002</v>
      </c>
      <c r="Q136" s="192">
        <f>'Támogatás szorzat tényezői'!$C$2*'Támogatás szorzat tényezői'!$C$3*N136*P136</f>
        <v>792000.00000000012</v>
      </c>
      <c r="R136" s="192">
        <f>'Támogatás szorzat tényezői'!$C$2*'Támogatás szorzat tényezői'!$C$3*P136</f>
        <v>396000.00000000006</v>
      </c>
    </row>
    <row r="137" spans="1:18" x14ac:dyDescent="0.25">
      <c r="A137" s="178">
        <v>41</v>
      </c>
      <c r="B137" s="287" t="str">
        <f t="shared" si="20"/>
        <v>Pék-cukrász</v>
      </c>
      <c r="C137" s="178" t="s">
        <v>1296</v>
      </c>
      <c r="D137" s="178">
        <v>4</v>
      </c>
      <c r="E137" s="178">
        <v>721</v>
      </c>
      <c r="F137" s="178">
        <v>5</v>
      </c>
      <c r="G137" s="178">
        <v>12</v>
      </c>
      <c r="H137" s="178" t="str">
        <f t="shared" si="21"/>
        <v>0721</v>
      </c>
      <c r="I137" s="178" t="str">
        <f t="shared" si="22"/>
        <v>05</v>
      </c>
      <c r="J137" s="178">
        <f t="shared" si="23"/>
        <v>12</v>
      </c>
      <c r="K137" s="178" t="str">
        <f t="shared" si="24"/>
        <v>4 0721 05 12</v>
      </c>
      <c r="L137" s="177" t="s">
        <v>719</v>
      </c>
      <c r="M137" s="178">
        <v>3</v>
      </c>
      <c r="N137" s="178">
        <v>2</v>
      </c>
      <c r="O137" s="178">
        <v>4</v>
      </c>
      <c r="P137" s="191">
        <f>IF(D137=4,VLOOKUP(C137,Szakmaszorzók!$B$2:$D$25,2,0),VLOOKUP(C137,Szakmaszorzók!$B$2:$D$25,3,0))</f>
        <v>2.2000000000000002</v>
      </c>
      <c r="Q137" s="192">
        <f>'Támogatás szorzat tényezői'!$C$2*'Támogatás szorzat tényezői'!$C$3*N137*P137</f>
        <v>792000.00000000012</v>
      </c>
      <c r="R137" s="192">
        <f>'Támogatás szorzat tényezői'!$C$2*'Támogatás szorzat tényezői'!$C$3*P137</f>
        <v>396000.00000000006</v>
      </c>
    </row>
    <row r="138" spans="1:18" x14ac:dyDescent="0.25">
      <c r="A138" s="178">
        <v>71</v>
      </c>
      <c r="B138" s="287" t="str">
        <f t="shared" si="20"/>
        <v>Pénzügyi-számviteli ügyintéző</v>
      </c>
      <c r="C138" s="178" t="s">
        <v>1389</v>
      </c>
      <c r="D138" s="178">
        <v>5</v>
      </c>
      <c r="E138" s="178">
        <v>411</v>
      </c>
      <c r="F138" s="178">
        <v>9</v>
      </c>
      <c r="G138" s="178">
        <v>1</v>
      </c>
      <c r="H138" s="178" t="str">
        <f t="shared" si="21"/>
        <v>0411</v>
      </c>
      <c r="I138" s="178" t="str">
        <f t="shared" si="22"/>
        <v>09</v>
      </c>
      <c r="J138" s="178" t="str">
        <f t="shared" si="23"/>
        <v>01</v>
      </c>
      <c r="K138" s="178" t="str">
        <f t="shared" si="24"/>
        <v>5 0411 09 01</v>
      </c>
      <c r="L138" s="177" t="s">
        <v>272</v>
      </c>
      <c r="M138" s="178">
        <v>5</v>
      </c>
      <c r="N138" s="178">
        <v>2</v>
      </c>
      <c r="O138" s="178">
        <v>6</v>
      </c>
      <c r="P138" s="191">
        <f>IF(D138=4,VLOOKUP(C138,Szakmaszorzók!$B$2:$D$25,2,0),VLOOKUP(C138,Szakmaszorzók!$B$2:$D$25,3,0))</f>
        <v>2.2000000000000002</v>
      </c>
      <c r="Q138" s="192">
        <f>'Támogatás szorzat tényezői'!$C$2*'Támogatás szorzat tényezői'!$C$3*N138*P138</f>
        <v>792000.00000000012</v>
      </c>
      <c r="R138" s="192">
        <f>'Támogatás szorzat tényezői'!$C$2*'Támogatás szorzat tényezői'!$C$3*P138</f>
        <v>396000.00000000006</v>
      </c>
    </row>
    <row r="139" spans="1:18" x14ac:dyDescent="0.25">
      <c r="A139" s="178">
        <v>19</v>
      </c>
      <c r="B139" s="287" t="str">
        <f t="shared" si="20"/>
        <v>Perioperatív szakasszisztens</v>
      </c>
      <c r="C139" s="178" t="s">
        <v>1285</v>
      </c>
      <c r="D139" s="178">
        <v>5</v>
      </c>
      <c r="E139" s="178">
        <v>910</v>
      </c>
      <c r="F139" s="178">
        <v>3</v>
      </c>
      <c r="G139" s="178">
        <v>7</v>
      </c>
      <c r="H139" s="178" t="str">
        <f t="shared" si="21"/>
        <v>0910</v>
      </c>
      <c r="I139" s="178" t="str">
        <f t="shared" si="22"/>
        <v>03</v>
      </c>
      <c r="J139" s="178" t="str">
        <f t="shared" si="23"/>
        <v>07</v>
      </c>
      <c r="K139" s="178" t="str">
        <f t="shared" si="24"/>
        <v>5 0910 03 07</v>
      </c>
      <c r="L139" s="177" t="s">
        <v>1390</v>
      </c>
      <c r="M139" s="178">
        <v>6</v>
      </c>
      <c r="N139" s="178">
        <v>3</v>
      </c>
      <c r="O139" s="178">
        <v>5</v>
      </c>
      <c r="P139" s="191">
        <f>IF(D139=4,VLOOKUP(C139,Szakmaszorzók!$B$2:$D$25,2,0),VLOOKUP(C139,Szakmaszorzók!$B$2:$D$25,3,0))</f>
        <v>2.2000000000000002</v>
      </c>
      <c r="Q139" s="192">
        <f>'Támogatás szorzat tényezői'!$C$2*'Támogatás szorzat tényezői'!$C$3*N139*P139</f>
        <v>1188000</v>
      </c>
      <c r="R139" s="192">
        <f>'Támogatás szorzat tényezői'!$C$2*'Támogatás szorzat tényezői'!$C$3*P139</f>
        <v>396000.00000000006</v>
      </c>
    </row>
    <row r="140" spans="1:18" x14ac:dyDescent="0.25">
      <c r="A140" s="178">
        <v>163</v>
      </c>
      <c r="B140" s="287" t="str">
        <f t="shared" si="20"/>
        <v>Pincér - vendégtéri szakember</v>
      </c>
      <c r="C140" s="178" t="s">
        <v>1303</v>
      </c>
      <c r="D140" s="178">
        <v>4</v>
      </c>
      <c r="E140" s="178">
        <v>1013</v>
      </c>
      <c r="F140" s="178">
        <v>23</v>
      </c>
      <c r="G140" s="178">
        <v>4</v>
      </c>
      <c r="H140" s="178">
        <f t="shared" si="21"/>
        <v>1013</v>
      </c>
      <c r="I140" s="178">
        <f t="shared" si="22"/>
        <v>23</v>
      </c>
      <c r="J140" s="178" t="str">
        <f t="shared" si="23"/>
        <v>04</v>
      </c>
      <c r="K140" s="178" t="str">
        <f t="shared" si="24"/>
        <v>4 1013 23 04</v>
      </c>
      <c r="L140" s="177" t="s">
        <v>1391</v>
      </c>
      <c r="M140" s="178">
        <v>3</v>
      </c>
      <c r="N140" s="178">
        <v>2</v>
      </c>
      <c r="O140" s="178">
        <v>5</v>
      </c>
      <c r="P140" s="191">
        <f>IF(D140=4,VLOOKUP(C140,Szakmaszorzók!$B$2:$D$25,2,0),VLOOKUP(C140,Szakmaszorzók!$B$2:$D$25,3,0))</f>
        <v>2.2000000000000002</v>
      </c>
      <c r="Q140" s="192">
        <f>'Támogatás szorzat tényezői'!$C$2*'Támogatás szorzat tényezői'!$C$3*N140*P140</f>
        <v>792000.00000000012</v>
      </c>
      <c r="R140" s="192">
        <f>'Támogatás szorzat tényezői'!$C$2*'Támogatás szorzat tényezői'!$C$3*P140</f>
        <v>396000.00000000006</v>
      </c>
    </row>
    <row r="141" spans="1:18" x14ac:dyDescent="0.25">
      <c r="A141" s="178">
        <v>108</v>
      </c>
      <c r="B141" s="287" t="str">
        <f t="shared" si="20"/>
        <v>Postai üzleti ügyintéző</v>
      </c>
      <c r="C141" s="178" t="s">
        <v>1340</v>
      </c>
      <c r="D141" s="178">
        <v>5</v>
      </c>
      <c r="E141" s="178">
        <v>1041</v>
      </c>
      <c r="F141" s="178">
        <v>15</v>
      </c>
      <c r="G141" s="178">
        <v>7</v>
      </c>
      <c r="H141" s="178">
        <f t="shared" si="21"/>
        <v>1041</v>
      </c>
      <c r="I141" s="178">
        <f t="shared" si="22"/>
        <v>15</v>
      </c>
      <c r="J141" s="178" t="str">
        <f t="shared" si="23"/>
        <v>07</v>
      </c>
      <c r="K141" s="178" t="str">
        <f t="shared" si="24"/>
        <v>5 1041 15 07</v>
      </c>
      <c r="L141" s="177" t="s">
        <v>274</v>
      </c>
      <c r="M141" s="178">
        <v>5</v>
      </c>
      <c r="N141" s="178">
        <v>2</v>
      </c>
      <c r="O141" s="178">
        <v>5</v>
      </c>
      <c r="P141" s="191">
        <f>IF(D141=4,VLOOKUP(C141,Szakmaszorzók!$B$2:$D$25,2,0),VLOOKUP(C141,Szakmaszorzók!$B$2:$D$25,3,0))</f>
        <v>2.2000000000000002</v>
      </c>
      <c r="Q141" s="192">
        <f>'Támogatás szorzat tényezői'!$C$2*'Támogatás szorzat tényezői'!$C$3*N141*P141</f>
        <v>792000.00000000012</v>
      </c>
      <c r="R141" s="192">
        <f>'Támogatás szorzat tényezői'!$C$2*'Támogatás szorzat tényezői'!$C$3*P141</f>
        <v>396000.00000000006</v>
      </c>
    </row>
    <row r="142" spans="1:18" x14ac:dyDescent="0.25">
      <c r="A142" s="178">
        <v>20</v>
      </c>
      <c r="B142" s="287" t="str">
        <f t="shared" si="20"/>
        <v>Radiográfiai szakasszisztens</v>
      </c>
      <c r="C142" s="178" t="s">
        <v>1285</v>
      </c>
      <c r="D142" s="178">
        <v>5</v>
      </c>
      <c r="E142" s="178">
        <v>914</v>
      </c>
      <c r="F142" s="178">
        <v>3</v>
      </c>
      <c r="G142" s="178">
        <v>8</v>
      </c>
      <c r="H142" s="178" t="str">
        <f t="shared" si="21"/>
        <v>0914</v>
      </c>
      <c r="I142" s="178" t="str">
        <f t="shared" si="22"/>
        <v>03</v>
      </c>
      <c r="J142" s="178" t="str">
        <f t="shared" si="23"/>
        <v>08</v>
      </c>
      <c r="K142" s="178" t="str">
        <f t="shared" si="24"/>
        <v>5 0914 03 08</v>
      </c>
      <c r="L142" s="177" t="s">
        <v>1392</v>
      </c>
      <c r="M142" s="178">
        <v>6</v>
      </c>
      <c r="N142" s="178">
        <v>3</v>
      </c>
      <c r="O142" s="178">
        <v>6</v>
      </c>
      <c r="P142" s="191">
        <f>IF(D142=4,VLOOKUP(C142,Szakmaszorzók!$B$2:$D$25,2,0),VLOOKUP(C142,Szakmaszorzók!$B$2:$D$25,3,0))</f>
        <v>2.2000000000000002</v>
      </c>
      <c r="Q142" s="192">
        <f>'Támogatás szorzat tényezői'!$C$2*'Támogatás szorzat tényezői'!$C$3*N142*P142</f>
        <v>1188000</v>
      </c>
      <c r="R142" s="192">
        <f>'Támogatás szorzat tényezői'!$C$2*'Támogatás szorzat tényezői'!$C$3*P142</f>
        <v>396000.00000000006</v>
      </c>
    </row>
    <row r="143" spans="1:18" x14ac:dyDescent="0.25">
      <c r="A143" s="178">
        <v>21</v>
      </c>
      <c r="B143" s="287" t="str">
        <f t="shared" si="20"/>
        <v>Rehabilitációs terapeuta</v>
      </c>
      <c r="C143" s="178" t="s">
        <v>1285</v>
      </c>
      <c r="D143" s="178">
        <v>5</v>
      </c>
      <c r="E143" s="178">
        <v>923</v>
      </c>
      <c r="F143" s="178">
        <v>3</v>
      </c>
      <c r="G143" s="178">
        <v>9</v>
      </c>
      <c r="H143" s="178" t="str">
        <f t="shared" si="21"/>
        <v>0923</v>
      </c>
      <c r="I143" s="178" t="str">
        <f t="shared" si="22"/>
        <v>03</v>
      </c>
      <c r="J143" s="178" t="str">
        <f t="shared" si="23"/>
        <v>09</v>
      </c>
      <c r="K143" s="178" t="str">
        <f t="shared" si="24"/>
        <v>5 0923 03 09</v>
      </c>
      <c r="L143" s="177" t="s">
        <v>1975</v>
      </c>
      <c r="M143" s="178">
        <v>5</v>
      </c>
      <c r="N143" s="178">
        <v>2</v>
      </c>
      <c r="O143" s="178">
        <v>5</v>
      </c>
      <c r="P143" s="191">
        <f>IF(D143=4,VLOOKUP(C143,Szakmaszorzók!$B$2:$D$25,2,0),VLOOKUP(C143,Szakmaszorzók!$B$2:$D$25,3,0))</f>
        <v>2.2000000000000002</v>
      </c>
      <c r="Q143" s="192">
        <f>'Támogatás szorzat tényezői'!$C$2*'Támogatás szorzat tényezői'!$C$3*N143*P143</f>
        <v>792000.00000000012</v>
      </c>
      <c r="R143" s="192">
        <f>'Támogatás szorzat tényezői'!$C$2*'Támogatás szorzat tényezői'!$C$3*P143</f>
        <v>396000.00000000006</v>
      </c>
    </row>
    <row r="144" spans="1:18" x14ac:dyDescent="0.25">
      <c r="A144" s="178">
        <v>134</v>
      </c>
      <c r="B144" s="287" t="str">
        <f t="shared" si="20"/>
        <v>Rendészeti őr</v>
      </c>
      <c r="C144" s="178" t="s">
        <v>1373</v>
      </c>
      <c r="D144" s="178">
        <v>4</v>
      </c>
      <c r="E144" s="178">
        <v>1032</v>
      </c>
      <c r="F144" s="178">
        <v>18</v>
      </c>
      <c r="G144" s="178">
        <v>2</v>
      </c>
      <c r="H144" s="178">
        <f t="shared" si="21"/>
        <v>1032</v>
      </c>
      <c r="I144" s="178">
        <f t="shared" si="22"/>
        <v>18</v>
      </c>
      <c r="J144" s="178" t="str">
        <f t="shared" si="23"/>
        <v>02</v>
      </c>
      <c r="K144" s="178" t="str">
        <f t="shared" si="24"/>
        <v>4 1032 18 02</v>
      </c>
      <c r="L144" s="177" t="s">
        <v>1393</v>
      </c>
      <c r="M144" s="178">
        <v>3</v>
      </c>
      <c r="N144" s="178">
        <v>2</v>
      </c>
      <c r="O144" s="178">
        <v>4</v>
      </c>
      <c r="P144" s="191">
        <f>IF(D144=4,VLOOKUP(C144,Szakmaszorzók!$B$2:$D$25,2,0),VLOOKUP(C144,Szakmaszorzók!$B$2:$D$25,3,0))</f>
        <v>2.2000000000000002</v>
      </c>
      <c r="Q144" s="192">
        <f>'Támogatás szorzat tényezői'!$C$2*'Támogatás szorzat tényezői'!$C$3*N144*P144</f>
        <v>792000.00000000012</v>
      </c>
      <c r="R144" s="192">
        <f>'Támogatás szorzat tényezői'!$C$2*'Támogatás szorzat tényezői'!$C$3*P144</f>
        <v>396000.00000000006</v>
      </c>
    </row>
    <row r="145" spans="1:18" x14ac:dyDescent="0.25">
      <c r="A145" s="178">
        <v>135</v>
      </c>
      <c r="B145" s="287" t="str">
        <f t="shared" si="20"/>
        <v>Rendőr tiszthelyettes</v>
      </c>
      <c r="C145" s="178" t="s">
        <v>1373</v>
      </c>
      <c r="D145" s="178">
        <v>5</v>
      </c>
      <c r="E145" s="178">
        <v>1032</v>
      </c>
      <c r="F145" s="178">
        <v>18</v>
      </c>
      <c r="G145" s="178">
        <v>3</v>
      </c>
      <c r="H145" s="178">
        <f t="shared" si="21"/>
        <v>1032</v>
      </c>
      <c r="I145" s="178">
        <f t="shared" si="22"/>
        <v>18</v>
      </c>
      <c r="J145" s="178" t="str">
        <f t="shared" si="23"/>
        <v>03</v>
      </c>
      <c r="K145" s="178" t="str">
        <f t="shared" si="24"/>
        <v>5 1032 18 03</v>
      </c>
      <c r="L145" s="177" t="s">
        <v>1394</v>
      </c>
      <c r="M145" s="178" t="s">
        <v>374</v>
      </c>
      <c r="N145" s="178">
        <v>2</v>
      </c>
      <c r="O145" s="178">
        <v>6</v>
      </c>
      <c r="P145" s="191">
        <f>IF(D145=4,VLOOKUP(C145,Szakmaszorzók!$B$2:$D$25,2,0),VLOOKUP(C145,Szakmaszorzók!$B$2:$D$25,3,0))</f>
        <v>2.2000000000000002</v>
      </c>
      <c r="Q145" s="192">
        <f>'Támogatás szorzat tényezői'!$C$2*'Támogatás szorzat tényezői'!$C$3*N145*P145</f>
        <v>792000.00000000012</v>
      </c>
      <c r="R145" s="192">
        <f>'Támogatás szorzat tényezői'!$C$2*'Támogatás szorzat tényezői'!$C$3*P145</f>
        <v>396000.00000000006</v>
      </c>
    </row>
    <row r="146" spans="1:18" x14ac:dyDescent="0.25">
      <c r="A146" s="178">
        <v>150</v>
      </c>
      <c r="B146" s="287" t="str">
        <f t="shared" si="20"/>
        <v>Sportedző (a sportág megjelölésével) - sportszervező</v>
      </c>
      <c r="C146" s="178" t="s">
        <v>1325</v>
      </c>
      <c r="D146" s="178">
        <v>5</v>
      </c>
      <c r="E146" s="178">
        <v>1014</v>
      </c>
      <c r="F146" s="178">
        <v>20</v>
      </c>
      <c r="G146" s="178">
        <v>2</v>
      </c>
      <c r="H146" s="178">
        <f t="shared" si="21"/>
        <v>1014</v>
      </c>
      <c r="I146" s="178">
        <f t="shared" si="22"/>
        <v>20</v>
      </c>
      <c r="J146" s="178" t="str">
        <f t="shared" si="23"/>
        <v>02</v>
      </c>
      <c r="K146" s="178" t="str">
        <f t="shared" si="24"/>
        <v>5 1014 20 02</v>
      </c>
      <c r="L146" s="177" t="s">
        <v>1395</v>
      </c>
      <c r="M146" s="178">
        <v>5</v>
      </c>
      <c r="N146" s="178">
        <v>2</v>
      </c>
      <c r="O146" s="178">
        <v>4</v>
      </c>
      <c r="P146" s="191">
        <f>IF(D146=4,VLOOKUP(C146,Szakmaszorzók!$B$2:$D$25,2,0),VLOOKUP(C146,Szakmaszorzók!$B$2:$D$25,3,0))</f>
        <v>2.2000000000000002</v>
      </c>
      <c r="Q146" s="192">
        <f>'Támogatás szorzat tényezői'!$C$2*'Támogatás szorzat tényezői'!$C$3*N146*P146</f>
        <v>792000.00000000012</v>
      </c>
      <c r="R146" s="192">
        <f>'Támogatás szorzat tényezői'!$C$2*'Támogatás szorzat tényezői'!$C$3*P146</f>
        <v>396000.00000000006</v>
      </c>
    </row>
    <row r="147" spans="1:18" x14ac:dyDescent="0.25">
      <c r="A147" s="178">
        <v>42</v>
      </c>
      <c r="B147" s="287" t="str">
        <f t="shared" si="20"/>
        <v>Sütő- és cukrászipari technikus</v>
      </c>
      <c r="C147" s="178" t="s">
        <v>1296</v>
      </c>
      <c r="D147" s="178">
        <v>5</v>
      </c>
      <c r="E147" s="178">
        <v>721</v>
      </c>
      <c r="F147" s="178">
        <v>5</v>
      </c>
      <c r="G147" s="178">
        <v>13</v>
      </c>
      <c r="H147" s="178" t="str">
        <f t="shared" si="21"/>
        <v>0721</v>
      </c>
      <c r="I147" s="178" t="str">
        <f t="shared" si="22"/>
        <v>05</v>
      </c>
      <c r="J147" s="178">
        <f t="shared" si="23"/>
        <v>13</v>
      </c>
      <c r="K147" s="178" t="str">
        <f t="shared" si="24"/>
        <v>5 0721 05 13</v>
      </c>
      <c r="L147" s="177" t="s">
        <v>1396</v>
      </c>
      <c r="M147" s="178">
        <v>5</v>
      </c>
      <c r="N147" s="178">
        <v>2</v>
      </c>
      <c r="O147" s="178">
        <v>6</v>
      </c>
      <c r="P147" s="191">
        <f>IF(D147=4,VLOOKUP(C147,Szakmaszorzók!$B$2:$D$25,2,0),VLOOKUP(C147,Szakmaszorzók!$B$2:$D$25,3,0))</f>
        <v>2.2000000000000002</v>
      </c>
      <c r="Q147" s="192">
        <f>'Támogatás szorzat tényezői'!$C$2*'Támogatás szorzat tényezői'!$C$3*N147*P147</f>
        <v>792000.00000000012</v>
      </c>
      <c r="R147" s="192">
        <f>'Támogatás szorzat tényezői'!$C$2*'Támogatás szorzat tényezői'!$C$3*P147</f>
        <v>396000.00000000006</v>
      </c>
    </row>
    <row r="148" spans="1:18" x14ac:dyDescent="0.25">
      <c r="A148" s="178">
        <v>164</v>
      </c>
      <c r="B148" s="287" t="str">
        <f t="shared" si="20"/>
        <v>Szakács</v>
      </c>
      <c r="C148" s="178" t="s">
        <v>1303</v>
      </c>
      <c r="D148" s="178">
        <v>4</v>
      </c>
      <c r="E148" s="178">
        <v>1013</v>
      </c>
      <c r="F148" s="178">
        <v>23</v>
      </c>
      <c r="G148" s="178">
        <v>5</v>
      </c>
      <c r="H148" s="178">
        <f t="shared" si="21"/>
        <v>1013</v>
      </c>
      <c r="I148" s="178">
        <f t="shared" si="22"/>
        <v>23</v>
      </c>
      <c r="J148" s="178" t="str">
        <f t="shared" si="23"/>
        <v>05</v>
      </c>
      <c r="K148" s="178" t="str">
        <f t="shared" si="24"/>
        <v>4 1013 23 05</v>
      </c>
      <c r="L148" s="177" t="s">
        <v>285</v>
      </c>
      <c r="M148" s="178">
        <v>3</v>
      </c>
      <c r="N148" s="178">
        <v>2</v>
      </c>
      <c r="O148" s="178">
        <v>5</v>
      </c>
      <c r="P148" s="191">
        <f>IF(D148=4,VLOOKUP(C148,Szakmaszorzók!$B$2:$D$25,2,0),VLOOKUP(C148,Szakmaszorzók!$B$2:$D$25,3,0))</f>
        <v>2.2000000000000002</v>
      </c>
      <c r="Q148" s="192">
        <f>'Támogatás szorzat tényezői'!$C$2*'Támogatás szorzat tényezői'!$C$3*N148*P148</f>
        <v>792000.00000000012</v>
      </c>
      <c r="R148" s="192">
        <f>'Támogatás szorzat tényezői'!$C$2*'Támogatás szorzat tényezői'!$C$3*P148</f>
        <v>396000.00000000006</v>
      </c>
    </row>
    <row r="149" spans="1:18" x14ac:dyDescent="0.25">
      <c r="A149" s="178">
        <v>165</v>
      </c>
      <c r="B149" s="287" t="str">
        <f t="shared" si="20"/>
        <v>Szakács szaktechnikus</v>
      </c>
      <c r="C149" s="178" t="s">
        <v>1303</v>
      </c>
      <c r="D149" s="178">
        <v>5</v>
      </c>
      <c r="E149" s="178">
        <v>1013</v>
      </c>
      <c r="F149" s="178">
        <v>23</v>
      </c>
      <c r="G149" s="178">
        <v>6</v>
      </c>
      <c r="H149" s="178">
        <f t="shared" si="21"/>
        <v>1013</v>
      </c>
      <c r="I149" s="178">
        <f t="shared" si="22"/>
        <v>23</v>
      </c>
      <c r="J149" s="178" t="str">
        <f t="shared" si="23"/>
        <v>06</v>
      </c>
      <c r="K149" s="178" t="str">
        <f t="shared" si="24"/>
        <v>5 1013 23 06</v>
      </c>
      <c r="L149" s="177" t="s">
        <v>1397</v>
      </c>
      <c r="M149" s="178">
        <v>5</v>
      </c>
      <c r="N149" s="178">
        <v>2</v>
      </c>
      <c r="O149" s="178">
        <v>6</v>
      </c>
      <c r="P149" s="191">
        <f>IF(D149=4,VLOOKUP(C149,Szakmaszorzók!$B$2:$D$25,2,0),VLOOKUP(C149,Szakmaszorzók!$B$2:$D$25,3,0))</f>
        <v>2.2000000000000002</v>
      </c>
      <c r="Q149" s="192">
        <f>'Támogatás szorzat tényezői'!$C$2*'Támogatás szorzat tényezői'!$C$3*N149*P149</f>
        <v>792000.00000000012</v>
      </c>
      <c r="R149" s="192">
        <f>'Támogatás szorzat tényezői'!$C$2*'Támogatás szorzat tényezői'!$C$3*P149</f>
        <v>396000.00000000006</v>
      </c>
    </row>
    <row r="150" spans="1:18" x14ac:dyDescent="0.25">
      <c r="A150" s="178">
        <v>58</v>
      </c>
      <c r="B150" s="287" t="str">
        <f t="shared" si="20"/>
        <v>Szárazépítő</v>
      </c>
      <c r="C150" s="178" t="s">
        <v>1282</v>
      </c>
      <c r="D150" s="178">
        <v>4</v>
      </c>
      <c r="E150" s="178">
        <v>732</v>
      </c>
      <c r="F150" s="178">
        <v>6</v>
      </c>
      <c r="G150" s="178">
        <v>11</v>
      </c>
      <c r="H150" s="178" t="str">
        <f t="shared" si="21"/>
        <v>0732</v>
      </c>
      <c r="I150" s="178" t="str">
        <f t="shared" si="22"/>
        <v>06</v>
      </c>
      <c r="J150" s="178">
        <f t="shared" si="23"/>
        <v>11</v>
      </c>
      <c r="K150" s="178" t="str">
        <f t="shared" si="24"/>
        <v>4 0732 06 11</v>
      </c>
      <c r="L150" s="177" t="s">
        <v>289</v>
      </c>
      <c r="M150" s="178">
        <v>3</v>
      </c>
      <c r="N150" s="178">
        <v>2</v>
      </c>
      <c r="O150" s="178">
        <v>4</v>
      </c>
      <c r="P150" s="191">
        <f>IF(D150=4,VLOOKUP(C150,Szakmaszorzók!$B$2:$D$25,2,0),VLOOKUP(C150,Szakmaszorzók!$B$2:$D$25,3,0))</f>
        <v>2.42</v>
      </c>
      <c r="Q150" s="192">
        <f>'Támogatás szorzat tényezői'!$C$2*'Támogatás szorzat tényezői'!$C$3*N150*P150</f>
        <v>871200</v>
      </c>
      <c r="R150" s="192">
        <f>'Támogatás szorzat tényezői'!$C$2*'Támogatás szorzat tényezői'!$C$3*P150</f>
        <v>435600</v>
      </c>
    </row>
    <row r="151" spans="1:18" x14ac:dyDescent="0.25">
      <c r="A151" s="178">
        <v>59</v>
      </c>
      <c r="B151" s="287" t="str">
        <f t="shared" si="20"/>
        <v>Szerkezetépítő és -szerelő</v>
      </c>
      <c r="C151" s="178" t="s">
        <v>1282</v>
      </c>
      <c r="D151" s="178">
        <v>4</v>
      </c>
      <c r="E151" s="178">
        <v>732</v>
      </c>
      <c r="F151" s="178">
        <v>6</v>
      </c>
      <c r="G151" s="178">
        <v>12</v>
      </c>
      <c r="H151" s="178" t="str">
        <f t="shared" si="21"/>
        <v>0732</v>
      </c>
      <c r="I151" s="178" t="str">
        <f t="shared" si="22"/>
        <v>06</v>
      </c>
      <c r="J151" s="178">
        <f t="shared" si="23"/>
        <v>12</v>
      </c>
      <c r="K151" s="178" t="str">
        <f t="shared" si="24"/>
        <v>4 0732 06 12</v>
      </c>
      <c r="L151" s="177" t="s">
        <v>1398</v>
      </c>
      <c r="M151" s="178">
        <v>3</v>
      </c>
      <c r="N151" s="178">
        <v>2</v>
      </c>
      <c r="O151" s="178">
        <v>4</v>
      </c>
      <c r="P151" s="191">
        <f>IF(D151=4,VLOOKUP(C151,Szakmaszorzók!$B$2:$D$25,2,0),VLOOKUP(C151,Szakmaszorzók!$B$2:$D$25,3,0))</f>
        <v>2.42</v>
      </c>
      <c r="Q151" s="192">
        <f>'Támogatás szorzat tényezői'!$C$2*'Támogatás szorzat tényezői'!$C$3*N151*P151</f>
        <v>871200</v>
      </c>
      <c r="R151" s="192">
        <f>'Támogatás szorzat tényezői'!$C$2*'Támogatás szorzat tényezői'!$C$3*P151</f>
        <v>435600</v>
      </c>
    </row>
    <row r="152" spans="1:18" x14ac:dyDescent="0.25">
      <c r="A152" s="178">
        <v>84</v>
      </c>
      <c r="B152" s="287" t="str">
        <f t="shared" si="20"/>
        <v>Szerszám- és készülékgyártó</v>
      </c>
      <c r="C152" s="178" t="s">
        <v>1301</v>
      </c>
      <c r="D152" s="178">
        <v>4</v>
      </c>
      <c r="E152" s="178">
        <v>715</v>
      </c>
      <c r="F152" s="178">
        <v>10</v>
      </c>
      <c r="G152" s="178">
        <v>12</v>
      </c>
      <c r="H152" s="178" t="str">
        <f t="shared" si="21"/>
        <v>0715</v>
      </c>
      <c r="I152" s="178">
        <f t="shared" si="22"/>
        <v>10</v>
      </c>
      <c r="J152" s="178">
        <f t="shared" si="23"/>
        <v>12</v>
      </c>
      <c r="K152" s="178" t="str">
        <f t="shared" si="24"/>
        <v>4 0715 10 12</v>
      </c>
      <c r="L152" s="177" t="s">
        <v>1399</v>
      </c>
      <c r="M152" s="178">
        <v>3</v>
      </c>
      <c r="N152" s="178">
        <v>2</v>
      </c>
      <c r="O152" s="178">
        <v>5</v>
      </c>
      <c r="P152" s="191">
        <f>IF(D152=4,VLOOKUP(C152,Szakmaszorzók!$B$2:$D$25,2,0),VLOOKUP(C152,Szakmaszorzók!$B$2:$D$25,3,0))</f>
        <v>2.42</v>
      </c>
      <c r="Q152" s="192">
        <f>'Támogatás szorzat tényezői'!$C$2*'Támogatás szorzat tényezői'!$C$3*N152*P152</f>
        <v>871200</v>
      </c>
      <c r="R152" s="192">
        <f>'Támogatás szorzat tényezői'!$C$2*'Támogatás szorzat tényezői'!$C$3*P152</f>
        <v>435600</v>
      </c>
    </row>
    <row r="153" spans="1:18" x14ac:dyDescent="0.25">
      <c r="A153" s="178">
        <v>60</v>
      </c>
      <c r="B153" s="287" t="str">
        <f t="shared" si="20"/>
        <v>Szigetelő</v>
      </c>
      <c r="C153" s="178" t="s">
        <v>1282</v>
      </c>
      <c r="D153" s="178">
        <v>4</v>
      </c>
      <c r="E153" s="178">
        <v>732</v>
      </c>
      <c r="F153" s="178">
        <v>6</v>
      </c>
      <c r="G153" s="178">
        <v>13</v>
      </c>
      <c r="H153" s="178" t="str">
        <f t="shared" si="21"/>
        <v>0732</v>
      </c>
      <c r="I153" s="178" t="str">
        <f t="shared" si="22"/>
        <v>06</v>
      </c>
      <c r="J153" s="178">
        <f t="shared" si="23"/>
        <v>13</v>
      </c>
      <c r="K153" s="178" t="str">
        <f t="shared" si="24"/>
        <v>4 0732 06 13</v>
      </c>
      <c r="L153" s="177" t="s">
        <v>1400</v>
      </c>
      <c r="M153" s="178">
        <v>3</v>
      </c>
      <c r="N153" s="178">
        <v>2</v>
      </c>
      <c r="O153" s="178">
        <v>4</v>
      </c>
      <c r="P153" s="191">
        <f>IF(D153=4,VLOOKUP(C153,Szakmaszorzók!$B$2:$D$25,2,0),VLOOKUP(C153,Szakmaszorzók!$B$2:$D$25,3,0))</f>
        <v>2.42</v>
      </c>
      <c r="Q153" s="192">
        <f>'Támogatás szorzat tényezői'!$C$2*'Támogatás szorzat tényezői'!$C$3*N153*P153</f>
        <v>871200</v>
      </c>
      <c r="R153" s="192">
        <f>'Támogatás szorzat tényezői'!$C$2*'Támogatás szorzat tényezői'!$C$3*P153</f>
        <v>435600</v>
      </c>
    </row>
    <row r="154" spans="1:18" x14ac:dyDescent="0.25">
      <c r="A154" s="178">
        <v>123</v>
      </c>
      <c r="B154" s="287" t="str">
        <f t="shared" si="20"/>
        <v>Színház- és rendezvény-technikus</v>
      </c>
      <c r="C154" s="178" t="s">
        <v>1298</v>
      </c>
      <c r="D154" s="178">
        <v>5</v>
      </c>
      <c r="E154" s="178">
        <v>413</v>
      </c>
      <c r="F154" s="178">
        <v>16</v>
      </c>
      <c r="G154" s="178">
        <v>14</v>
      </c>
      <c r="H154" s="178" t="str">
        <f t="shared" si="21"/>
        <v>0413</v>
      </c>
      <c r="I154" s="178">
        <f t="shared" si="22"/>
        <v>16</v>
      </c>
      <c r="J154" s="178">
        <f t="shared" si="23"/>
        <v>14</v>
      </c>
      <c r="K154" s="178" t="str">
        <f t="shared" si="24"/>
        <v>5 0413 16 14</v>
      </c>
      <c r="L154" s="177" t="s">
        <v>1982</v>
      </c>
      <c r="M154" s="178">
        <v>5</v>
      </c>
      <c r="N154" s="178">
        <v>2</v>
      </c>
      <c r="O154" s="178">
        <v>5</v>
      </c>
      <c r="P154" s="191">
        <f>IF(D154=4,VLOOKUP(C154,Szakmaszorzók!$B$2:$D$25,2,0),VLOOKUP(C154,Szakmaszorzók!$B$2:$D$25,3,0))</f>
        <v>2.42</v>
      </c>
      <c r="Q154" s="192">
        <f>'Támogatás szorzat tényezői'!$C$2*'Támogatás szorzat tényezői'!$C$3*N154*P154</f>
        <v>871200</v>
      </c>
      <c r="R154" s="192">
        <f>'Támogatás szorzat tényezői'!$C$2*'Támogatás szorzat tényezői'!$C$3*P154</f>
        <v>435600</v>
      </c>
    </row>
    <row r="155" spans="1:18" x14ac:dyDescent="0.25">
      <c r="A155" s="178">
        <v>156</v>
      </c>
      <c r="B155" s="287" t="str">
        <f t="shared" si="20"/>
        <v>Szociális ápoló és gondozó</v>
      </c>
      <c r="C155" s="178" t="s">
        <v>1338</v>
      </c>
      <c r="D155" s="178">
        <v>4</v>
      </c>
      <c r="E155" s="178">
        <v>923</v>
      </c>
      <c r="F155" s="178">
        <v>22</v>
      </c>
      <c r="G155" s="178">
        <v>3</v>
      </c>
      <c r="H155" s="178" t="str">
        <f t="shared" si="21"/>
        <v>0923</v>
      </c>
      <c r="I155" s="178">
        <f t="shared" si="22"/>
        <v>22</v>
      </c>
      <c r="J155" s="178" t="str">
        <f t="shared" si="23"/>
        <v>03</v>
      </c>
      <c r="K155" s="178" t="str">
        <f t="shared" si="24"/>
        <v>4 0923 22 03</v>
      </c>
      <c r="L155" s="177" t="s">
        <v>1402</v>
      </c>
      <c r="M155" s="178">
        <v>3</v>
      </c>
      <c r="N155" s="178">
        <v>2</v>
      </c>
      <c r="O155" s="178">
        <v>3</v>
      </c>
      <c r="P155" s="191">
        <f>IF(D155=4,VLOOKUP(C155,Szakmaszorzók!$B$2:$D$25,2,0),VLOOKUP(C155,Szakmaszorzók!$B$2:$D$25,3,0))</f>
        <v>2.2000000000000002</v>
      </c>
      <c r="Q155" s="192">
        <f>'Támogatás szorzat tényezői'!$C$2*'Támogatás szorzat tényezői'!$C$3*N155*P155</f>
        <v>792000.00000000012</v>
      </c>
      <c r="R155" s="192">
        <f>'Támogatás szorzat tényezői'!$C$2*'Támogatás szorzat tényezői'!$C$3*P155</f>
        <v>396000.00000000006</v>
      </c>
    </row>
    <row r="156" spans="1:18" x14ac:dyDescent="0.25">
      <c r="A156" s="178">
        <v>157</v>
      </c>
      <c r="B156" s="287" t="str">
        <f t="shared" si="20"/>
        <v>Szociális és gyermekvédelmi szakasszisztens</v>
      </c>
      <c r="C156" s="178" t="s">
        <v>1338</v>
      </c>
      <c r="D156" s="178">
        <v>5</v>
      </c>
      <c r="E156" s="178">
        <v>923</v>
      </c>
      <c r="F156" s="178">
        <v>22</v>
      </c>
      <c r="G156" s="178">
        <v>4</v>
      </c>
      <c r="H156" s="178" t="str">
        <f t="shared" si="21"/>
        <v>0923</v>
      </c>
      <c r="I156" s="178">
        <f t="shared" si="22"/>
        <v>22</v>
      </c>
      <c r="J156" s="178" t="str">
        <f t="shared" si="23"/>
        <v>04</v>
      </c>
      <c r="K156" s="178" t="str">
        <f t="shared" si="24"/>
        <v>5 0923 22 04</v>
      </c>
      <c r="L156" s="177" t="s">
        <v>1403</v>
      </c>
      <c r="M156" s="178">
        <v>5</v>
      </c>
      <c r="N156" s="178">
        <v>2</v>
      </c>
      <c r="O156" s="178">
        <v>5</v>
      </c>
      <c r="P156" s="191">
        <f>IF(D156=4,VLOOKUP(C156,Szakmaszorzók!$B$2:$D$25,2,0),VLOOKUP(C156,Szakmaszorzók!$B$2:$D$25,3,0))</f>
        <v>2.2000000000000002</v>
      </c>
      <c r="Q156" s="192">
        <f>'Támogatás szorzat tényezői'!$C$2*'Támogatás szorzat tényezői'!$C$3*N156*P156</f>
        <v>792000.00000000012</v>
      </c>
      <c r="R156" s="192">
        <f>'Támogatás szorzat tényezői'!$C$2*'Támogatás szorzat tényezői'!$C$3*P156</f>
        <v>396000.00000000006</v>
      </c>
    </row>
    <row r="157" spans="1:18" x14ac:dyDescent="0.25">
      <c r="A157" s="178">
        <v>158</v>
      </c>
      <c r="B157" s="287" t="str">
        <f t="shared" si="20"/>
        <v>Szociális és mentálhigiénés szakgondozó</v>
      </c>
      <c r="C157" s="178" t="s">
        <v>1338</v>
      </c>
      <c r="D157" s="178">
        <v>5</v>
      </c>
      <c r="E157" s="178">
        <v>923</v>
      </c>
      <c r="F157" s="178">
        <v>22</v>
      </c>
      <c r="G157" s="178">
        <v>5</v>
      </c>
      <c r="H157" s="178" t="str">
        <f t="shared" si="21"/>
        <v>0923</v>
      </c>
      <c r="I157" s="178">
        <f t="shared" si="22"/>
        <v>22</v>
      </c>
      <c r="J157" s="178" t="str">
        <f t="shared" si="23"/>
        <v>05</v>
      </c>
      <c r="K157" s="178" t="str">
        <f t="shared" si="24"/>
        <v>5 0923 22 05</v>
      </c>
      <c r="L157" s="177" t="s">
        <v>1404</v>
      </c>
      <c r="M157" s="178" t="s">
        <v>374</v>
      </c>
      <c r="N157" s="178">
        <v>3</v>
      </c>
      <c r="O157" s="178">
        <v>5</v>
      </c>
      <c r="P157" s="191">
        <f>IF(D157=4,VLOOKUP(C157,Szakmaszorzók!$B$2:$D$25,2,0),VLOOKUP(C157,Szakmaszorzók!$B$2:$D$25,3,0))</f>
        <v>2.2000000000000002</v>
      </c>
      <c r="Q157" s="192">
        <f>'Támogatás szorzat tényezői'!$C$2*'Támogatás szorzat tényezői'!$C$3*N157*P157</f>
        <v>1188000</v>
      </c>
      <c r="R157" s="192">
        <f>'Támogatás szorzat tényezői'!$C$2*'Támogatás szorzat tényezői'!$C$3*P157</f>
        <v>396000.00000000006</v>
      </c>
    </row>
    <row r="158" spans="1:18" x14ac:dyDescent="0.25">
      <c r="A158" s="178">
        <v>159</v>
      </c>
      <c r="B158" s="287" t="str">
        <f t="shared" si="20"/>
        <v>Szociális és rehabilitációs szakgondozó</v>
      </c>
      <c r="C158" s="178" t="s">
        <v>1338</v>
      </c>
      <c r="D158" s="178">
        <v>5</v>
      </c>
      <c r="E158" s="178">
        <v>923</v>
      </c>
      <c r="F158" s="178">
        <v>22</v>
      </c>
      <c r="G158" s="178">
        <v>6</v>
      </c>
      <c r="H158" s="178" t="str">
        <f t="shared" si="21"/>
        <v>0923</v>
      </c>
      <c r="I158" s="178">
        <f t="shared" si="22"/>
        <v>22</v>
      </c>
      <c r="J158" s="178" t="str">
        <f t="shared" si="23"/>
        <v>06</v>
      </c>
      <c r="K158" s="178" t="str">
        <f t="shared" si="24"/>
        <v>5 0923 22 06</v>
      </c>
      <c r="L158" s="177" t="s">
        <v>1405</v>
      </c>
      <c r="M158" s="178">
        <v>5</v>
      </c>
      <c r="N158" s="178">
        <v>2</v>
      </c>
      <c r="O158" s="178">
        <v>5</v>
      </c>
      <c r="P158" s="191">
        <f>IF(D158=4,VLOOKUP(C158,Szakmaszorzók!$B$2:$D$25,2,0),VLOOKUP(C158,Szakmaszorzók!$B$2:$D$25,3,0))</f>
        <v>2.2000000000000002</v>
      </c>
      <c r="Q158" s="192">
        <f>'Támogatás szorzat tényezői'!$C$2*'Támogatás szorzat tényezői'!$C$3*N158*P158</f>
        <v>792000.00000000012</v>
      </c>
      <c r="R158" s="192">
        <f>'Támogatás szorzat tényezői'!$C$2*'Támogatás szorzat tényezői'!$C$3*P158</f>
        <v>396000.00000000006</v>
      </c>
    </row>
    <row r="159" spans="1:18" x14ac:dyDescent="0.25">
      <c r="A159" s="178">
        <v>93</v>
      </c>
      <c r="B159" s="287" t="str">
        <f t="shared" si="20"/>
        <v>Szoftverfejlesztő és -tesztelő</v>
      </c>
      <c r="C159" s="178" t="s">
        <v>1353</v>
      </c>
      <c r="D159" s="178">
        <v>5</v>
      </c>
      <c r="E159" s="178">
        <v>613</v>
      </c>
      <c r="F159" s="178">
        <v>12</v>
      </c>
      <c r="G159" s="178">
        <v>3</v>
      </c>
      <c r="H159" s="178" t="str">
        <f t="shared" si="21"/>
        <v>0613</v>
      </c>
      <c r="I159" s="178">
        <f t="shared" si="22"/>
        <v>12</v>
      </c>
      <c r="J159" s="178" t="str">
        <f t="shared" si="23"/>
        <v>03</v>
      </c>
      <c r="K159" s="178" t="str">
        <f t="shared" si="24"/>
        <v>5 0613 12 03</v>
      </c>
      <c r="L159" s="177" t="s">
        <v>1406</v>
      </c>
      <c r="M159" s="178">
        <v>5</v>
      </c>
      <c r="N159" s="178">
        <v>2</v>
      </c>
      <c r="O159" s="178">
        <v>8</v>
      </c>
      <c r="P159" s="191">
        <f>IF(D159=4,VLOOKUP(C159,Szakmaszorzók!$B$2:$D$25,2,0),VLOOKUP(C159,Szakmaszorzók!$B$2:$D$25,3,0))</f>
        <v>2.2000000000000002</v>
      </c>
      <c r="Q159" s="192">
        <f>'Támogatás szorzat tényezői'!$C$2*'Támogatás szorzat tényezői'!$C$3*N159*P159</f>
        <v>792000.00000000012</v>
      </c>
      <c r="R159" s="192">
        <f>'Támogatás szorzat tényezői'!$C$2*'Támogatás szorzat tényezői'!$C$3*P159</f>
        <v>396000.00000000006</v>
      </c>
    </row>
    <row r="160" spans="1:18" x14ac:dyDescent="0.25">
      <c r="A160" s="178">
        <v>43</v>
      </c>
      <c r="B160" s="287" t="str">
        <f t="shared" si="20"/>
        <v>Szőlész-borász</v>
      </c>
      <c r="C160" s="178" t="s">
        <v>1296</v>
      </c>
      <c r="D160" s="178">
        <v>4</v>
      </c>
      <c r="E160" s="178">
        <v>721</v>
      </c>
      <c r="F160" s="178">
        <v>5</v>
      </c>
      <c r="G160" s="178">
        <v>14</v>
      </c>
      <c r="H160" s="178" t="str">
        <f t="shared" si="21"/>
        <v>0721</v>
      </c>
      <c r="I160" s="178" t="str">
        <f t="shared" si="22"/>
        <v>05</v>
      </c>
      <c r="J160" s="178">
        <f t="shared" si="23"/>
        <v>14</v>
      </c>
      <c r="K160" s="178" t="str">
        <f t="shared" si="24"/>
        <v>4 0721 05 14</v>
      </c>
      <c r="L160" s="177" t="s">
        <v>301</v>
      </c>
      <c r="M160" s="178">
        <v>3</v>
      </c>
      <c r="N160" s="178">
        <v>2</v>
      </c>
      <c r="O160" s="178">
        <v>4</v>
      </c>
      <c r="P160" s="191">
        <f>IF(D160=4,VLOOKUP(C160,Szakmaszorzók!$B$2:$D$25,2,0),VLOOKUP(C160,Szakmaszorzók!$B$2:$D$25,3,0))</f>
        <v>2.2000000000000002</v>
      </c>
      <c r="Q160" s="192">
        <f>'Támogatás szorzat tényezői'!$C$2*'Támogatás szorzat tényezői'!$C$3*N160*P160</f>
        <v>792000.00000000012</v>
      </c>
      <c r="R160" s="192">
        <f>'Támogatás szorzat tényezői'!$C$2*'Támogatás szorzat tényezői'!$C$3*P160</f>
        <v>396000.00000000006</v>
      </c>
    </row>
    <row r="161" spans="1:18" x14ac:dyDescent="0.25">
      <c r="A161" s="178">
        <v>22</v>
      </c>
      <c r="B161" s="287" t="str">
        <f t="shared" si="20"/>
        <v>Szövettani szakasszisztens</v>
      </c>
      <c r="C161" s="178" t="s">
        <v>1285</v>
      </c>
      <c r="D161" s="178">
        <v>5</v>
      </c>
      <c r="E161" s="178">
        <v>914</v>
      </c>
      <c r="F161" s="178">
        <v>3</v>
      </c>
      <c r="G161" s="178">
        <v>10</v>
      </c>
      <c r="H161" s="178" t="str">
        <f t="shared" si="21"/>
        <v>0914</v>
      </c>
      <c r="I161" s="178" t="str">
        <f t="shared" si="22"/>
        <v>03</v>
      </c>
      <c r="J161" s="178">
        <f t="shared" si="23"/>
        <v>10</v>
      </c>
      <c r="K161" s="178" t="str">
        <f t="shared" si="24"/>
        <v>5 0914 03 10</v>
      </c>
      <c r="L161" s="177" t="s">
        <v>337</v>
      </c>
      <c r="M161" s="178">
        <v>6</v>
      </c>
      <c r="N161" s="178">
        <v>3</v>
      </c>
      <c r="O161" s="178">
        <v>5</v>
      </c>
      <c r="P161" s="191">
        <f>IF(D161=4,VLOOKUP(C161,Szakmaszorzók!$B$2:$D$25,2,0),VLOOKUP(C161,Szakmaszorzók!$B$2:$D$25,3,0))</f>
        <v>2.2000000000000002</v>
      </c>
      <c r="Q161" s="192">
        <f>'Támogatás szorzat tényezői'!$C$2*'Támogatás szorzat tényezői'!$C$3*N161*P161</f>
        <v>1188000</v>
      </c>
      <c r="R161" s="192">
        <f>'Támogatás szorzat tényezői'!$C$2*'Támogatás szorzat tényezői'!$C$3*P161</f>
        <v>396000.00000000006</v>
      </c>
    </row>
    <row r="162" spans="1:18" x14ac:dyDescent="0.25">
      <c r="A162" s="178">
        <v>44</v>
      </c>
      <c r="B162" s="287" t="str">
        <f t="shared" si="20"/>
        <v>Tartósítóipari technikus</v>
      </c>
      <c r="C162" s="178" t="s">
        <v>1296</v>
      </c>
      <c r="D162" s="178">
        <v>5</v>
      </c>
      <c r="E162" s="178">
        <v>721</v>
      </c>
      <c r="F162" s="178">
        <v>5</v>
      </c>
      <c r="G162" s="178">
        <v>15</v>
      </c>
      <c r="H162" s="178" t="str">
        <f t="shared" si="21"/>
        <v>0721</v>
      </c>
      <c r="I162" s="178" t="str">
        <f t="shared" si="22"/>
        <v>05</v>
      </c>
      <c r="J162" s="178">
        <f t="shared" si="23"/>
        <v>15</v>
      </c>
      <c r="K162" s="178" t="str">
        <f t="shared" si="24"/>
        <v>5 0721 05 15</v>
      </c>
      <c r="L162" s="177" t="s">
        <v>1407</v>
      </c>
      <c r="M162" s="178">
        <v>5</v>
      </c>
      <c r="N162" s="178">
        <v>2</v>
      </c>
      <c r="O162" s="178">
        <v>6</v>
      </c>
      <c r="P162" s="191">
        <f>IF(D162=4,VLOOKUP(C162,Szakmaszorzók!$B$2:$D$25,2,0),VLOOKUP(C162,Szakmaszorzók!$B$2:$D$25,3,0))</f>
        <v>2.2000000000000002</v>
      </c>
      <c r="Q162" s="192">
        <f>'Támogatás szorzat tényezői'!$C$2*'Támogatás szorzat tényezői'!$C$3*N162*P162</f>
        <v>792000.00000000012</v>
      </c>
      <c r="R162" s="192">
        <f>'Támogatás szorzat tényezői'!$C$2*'Támogatás szorzat tényezői'!$C$3*P162</f>
        <v>396000.00000000006</v>
      </c>
    </row>
    <row r="163" spans="1:18" x14ac:dyDescent="0.25">
      <c r="A163" s="178">
        <v>45</v>
      </c>
      <c r="B163" s="287" t="str">
        <f t="shared" si="20"/>
        <v>Tartósítóipari-termék-készítő</v>
      </c>
      <c r="C163" s="178" t="s">
        <v>1296</v>
      </c>
      <c r="D163" s="178">
        <v>4</v>
      </c>
      <c r="E163" s="178">
        <v>721</v>
      </c>
      <c r="F163" s="178">
        <v>5</v>
      </c>
      <c r="G163" s="178">
        <v>16</v>
      </c>
      <c r="H163" s="178" t="str">
        <f t="shared" si="21"/>
        <v>0721</v>
      </c>
      <c r="I163" s="178" t="str">
        <f t="shared" si="22"/>
        <v>05</v>
      </c>
      <c r="J163" s="178">
        <f t="shared" si="23"/>
        <v>16</v>
      </c>
      <c r="K163" s="178" t="str">
        <f t="shared" si="24"/>
        <v>4 0721 05 16</v>
      </c>
      <c r="L163" s="177" t="s">
        <v>1977</v>
      </c>
      <c r="M163" s="178">
        <v>3</v>
      </c>
      <c r="N163" s="178">
        <v>2</v>
      </c>
      <c r="O163" s="178">
        <v>4</v>
      </c>
      <c r="P163" s="191">
        <f>IF(D163=4,VLOOKUP(C163,Szakmaszorzók!$B$2:$D$25,2,0),VLOOKUP(C163,Szakmaszorzók!$B$2:$D$25,3,0))</f>
        <v>2.2000000000000002</v>
      </c>
      <c r="Q163" s="192">
        <f>'Támogatás szorzat tényezői'!$C$2*'Támogatás szorzat tényezői'!$C$3*N163*P163</f>
        <v>792000.00000000012</v>
      </c>
      <c r="R163" s="192">
        <f>'Támogatás szorzat tényezői'!$C$2*'Támogatás szorzat tényezői'!$C$3*P163</f>
        <v>396000.00000000006</v>
      </c>
    </row>
    <row r="164" spans="1:18" x14ac:dyDescent="0.25">
      <c r="A164" s="178">
        <v>94</v>
      </c>
      <c r="B164" s="287" t="str">
        <f t="shared" si="20"/>
        <v>Távközlési technikus</v>
      </c>
      <c r="C164" s="178" t="s">
        <v>1353</v>
      </c>
      <c r="D164" s="178">
        <v>5</v>
      </c>
      <c r="E164" s="178">
        <v>714</v>
      </c>
      <c r="F164" s="178">
        <v>12</v>
      </c>
      <c r="G164" s="178">
        <v>4</v>
      </c>
      <c r="H164" s="178" t="str">
        <f t="shared" si="21"/>
        <v>0714</v>
      </c>
      <c r="I164" s="178">
        <f t="shared" si="22"/>
        <v>12</v>
      </c>
      <c r="J164" s="178" t="str">
        <f t="shared" si="23"/>
        <v>04</v>
      </c>
      <c r="K164" s="178" t="str">
        <f t="shared" si="24"/>
        <v>5 0714 12 04</v>
      </c>
      <c r="L164" s="177" t="s">
        <v>304</v>
      </c>
      <c r="M164" s="178">
        <v>5</v>
      </c>
      <c r="N164" s="178">
        <v>2</v>
      </c>
      <c r="O164" s="178">
        <v>8</v>
      </c>
      <c r="P164" s="191">
        <f>IF(D164=4,VLOOKUP(C164,Szakmaszorzók!$B$2:$D$25,2,0),VLOOKUP(C164,Szakmaszorzók!$B$2:$D$25,3,0))</f>
        <v>2.2000000000000002</v>
      </c>
      <c r="Q164" s="192">
        <f>'Támogatás szorzat tényezői'!$C$2*'Támogatás szorzat tényezői'!$C$3*N164*P164</f>
        <v>792000.00000000012</v>
      </c>
      <c r="R164" s="192">
        <f>'Támogatás szorzat tényezői'!$C$2*'Támogatás szorzat tényezői'!$C$3*P164</f>
        <v>396000.00000000006</v>
      </c>
    </row>
    <row r="165" spans="1:18" x14ac:dyDescent="0.25">
      <c r="A165" s="178">
        <v>46</v>
      </c>
      <c r="B165" s="287" t="str">
        <f t="shared" si="20"/>
        <v>Tejipari technikus</v>
      </c>
      <c r="C165" s="178" t="s">
        <v>1296</v>
      </c>
      <c r="D165" s="178">
        <v>5</v>
      </c>
      <c r="E165" s="178">
        <v>721</v>
      </c>
      <c r="F165" s="178">
        <v>5</v>
      </c>
      <c r="G165" s="178">
        <v>17</v>
      </c>
      <c r="H165" s="178" t="str">
        <f t="shared" si="21"/>
        <v>0721</v>
      </c>
      <c r="I165" s="178" t="str">
        <f t="shared" si="22"/>
        <v>05</v>
      </c>
      <c r="J165" s="178">
        <f t="shared" si="23"/>
        <v>17</v>
      </c>
      <c r="K165" s="178" t="str">
        <f t="shared" si="24"/>
        <v>5 0721 05 17</v>
      </c>
      <c r="L165" s="177" t="s">
        <v>1408</v>
      </c>
      <c r="M165" s="178">
        <v>5</v>
      </c>
      <c r="N165" s="178">
        <v>2</v>
      </c>
      <c r="O165" s="178">
        <v>6</v>
      </c>
      <c r="P165" s="191">
        <f>IF(D165=4,VLOOKUP(C165,Szakmaszorzók!$B$2:$D$25,2,0),VLOOKUP(C165,Szakmaszorzók!$B$2:$D$25,3,0))</f>
        <v>2.2000000000000002</v>
      </c>
      <c r="Q165" s="192">
        <f>'Támogatás szorzat tényezői'!$C$2*'Támogatás szorzat tényezői'!$C$3*N165*P165</f>
        <v>792000.00000000012</v>
      </c>
      <c r="R165" s="192">
        <f>'Támogatás szorzat tényezői'!$C$2*'Támogatás szorzat tényezői'!$C$3*P165</f>
        <v>396000.00000000006</v>
      </c>
    </row>
    <row r="166" spans="1:18" x14ac:dyDescent="0.25">
      <c r="A166" s="178">
        <v>47</v>
      </c>
      <c r="B166" s="287" t="str">
        <f t="shared" si="20"/>
        <v>Tejtermékkészítő</v>
      </c>
      <c r="C166" s="178" t="s">
        <v>1296</v>
      </c>
      <c r="D166" s="178">
        <v>4</v>
      </c>
      <c r="E166" s="178">
        <v>721</v>
      </c>
      <c r="F166" s="178">
        <v>5</v>
      </c>
      <c r="G166" s="178">
        <v>18</v>
      </c>
      <c r="H166" s="178" t="str">
        <f t="shared" si="21"/>
        <v>0721</v>
      </c>
      <c r="I166" s="178" t="str">
        <f t="shared" si="22"/>
        <v>05</v>
      </c>
      <c r="J166" s="178">
        <f t="shared" si="23"/>
        <v>18</v>
      </c>
      <c r="K166" s="178" t="str">
        <f t="shared" si="24"/>
        <v>4 0721 05 18</v>
      </c>
      <c r="L166" s="177" t="s">
        <v>1409</v>
      </c>
      <c r="M166" s="178">
        <v>3</v>
      </c>
      <c r="N166" s="178">
        <v>2</v>
      </c>
      <c r="O166" s="178">
        <v>4</v>
      </c>
      <c r="P166" s="191">
        <f>IF(D166=4,VLOOKUP(C166,Szakmaszorzók!$B$2:$D$25,2,0),VLOOKUP(C166,Szakmaszorzók!$B$2:$D$25,3,0))</f>
        <v>2.2000000000000002</v>
      </c>
      <c r="Q166" s="192">
        <f>'Támogatás szorzat tényezői'!$C$2*'Támogatás szorzat tényezői'!$C$3*N166*P166</f>
        <v>792000.00000000012</v>
      </c>
      <c r="R166" s="192">
        <f>'Támogatás szorzat tényezői'!$C$2*'Támogatás szorzat tényezői'!$C$3*P166</f>
        <v>396000.00000000006</v>
      </c>
    </row>
    <row r="167" spans="1:18" x14ac:dyDescent="0.25">
      <c r="A167" s="178">
        <v>61</v>
      </c>
      <c r="B167" s="287" t="str">
        <f t="shared" ref="B167:B181" si="25">L167</f>
        <v>Tetőfedő</v>
      </c>
      <c r="C167" s="178" t="s">
        <v>1282</v>
      </c>
      <c r="D167" s="178">
        <v>4</v>
      </c>
      <c r="E167" s="178">
        <v>732</v>
      </c>
      <c r="F167" s="178">
        <v>6</v>
      </c>
      <c r="G167" s="178">
        <v>14</v>
      </c>
      <c r="H167" s="178" t="str">
        <f t="shared" ref="H167:H181" si="26">IF(E167&lt;1000,"0"&amp;E167,E167)</f>
        <v>0732</v>
      </c>
      <c r="I167" s="178" t="str">
        <f t="shared" ref="I167:I181" si="27">IF(F167&lt;10,"0"&amp;F167,F167)</f>
        <v>06</v>
      </c>
      <c r="J167" s="178">
        <f t="shared" ref="J167:J181" si="28">IF(G167&lt;10,"0"&amp;G167,G167)</f>
        <v>14</v>
      </c>
      <c r="K167" s="178" t="str">
        <f t="shared" ref="K167:K181" si="29">D167&amp;" "&amp;H167&amp;" "&amp;I167&amp;" "&amp;J167</f>
        <v>4 0732 06 14</v>
      </c>
      <c r="L167" s="177" t="s">
        <v>310</v>
      </c>
      <c r="M167" s="178">
        <v>3</v>
      </c>
      <c r="N167" s="178">
        <v>2</v>
      </c>
      <c r="O167" s="178">
        <v>4</v>
      </c>
      <c r="P167" s="191">
        <f>IF(D167=4,VLOOKUP(C167,Szakmaszorzók!$B$2:$D$25,2,0),VLOOKUP(C167,Szakmaszorzók!$B$2:$D$25,3,0))</f>
        <v>2.42</v>
      </c>
      <c r="Q167" s="192">
        <f>'Támogatás szorzat tényezői'!$C$2*'Támogatás szorzat tényezői'!$C$3*N167*P167</f>
        <v>871200</v>
      </c>
      <c r="R167" s="192">
        <f>'Támogatás szorzat tényezői'!$C$2*'Támogatás szorzat tényezői'!$C$3*P167</f>
        <v>435600</v>
      </c>
    </row>
    <row r="168" spans="1:18" x14ac:dyDescent="0.25">
      <c r="A168" s="178">
        <v>115</v>
      </c>
      <c r="B168" s="287" t="str">
        <f t="shared" si="25"/>
        <v>Textilgyártó</v>
      </c>
      <c r="C168" s="178" t="s">
        <v>1298</v>
      </c>
      <c r="D168" s="178">
        <v>4</v>
      </c>
      <c r="E168" s="178">
        <v>723</v>
      </c>
      <c r="F168" s="178">
        <v>16</v>
      </c>
      <c r="G168" s="178">
        <v>6</v>
      </c>
      <c r="H168" s="178" t="str">
        <f t="shared" si="26"/>
        <v>0723</v>
      </c>
      <c r="I168" s="178">
        <f t="shared" si="27"/>
        <v>16</v>
      </c>
      <c r="J168" s="178" t="str">
        <f t="shared" si="28"/>
        <v>06</v>
      </c>
      <c r="K168" s="178" t="str">
        <f t="shared" si="29"/>
        <v>4 0723 16 06</v>
      </c>
      <c r="L168" s="177" t="s">
        <v>1410</v>
      </c>
      <c r="M168" s="178">
        <v>3</v>
      </c>
      <c r="N168" s="178">
        <v>2</v>
      </c>
      <c r="O168" s="178">
        <v>4</v>
      </c>
      <c r="P168" s="191">
        <f>IF(D168=4,VLOOKUP(C168,Szakmaszorzók!$B$2:$D$25,2,0),VLOOKUP(C168,Szakmaszorzók!$B$2:$D$25,3,0))</f>
        <v>2.42</v>
      </c>
      <c r="Q168" s="192">
        <f>'Támogatás szorzat tényezői'!$C$2*'Támogatás szorzat tényezői'!$C$3*N168*P168</f>
        <v>871200</v>
      </c>
      <c r="R168" s="192">
        <f>'Támogatás szorzat tényezői'!$C$2*'Támogatás szorzat tényezői'!$C$3*P168</f>
        <v>435600</v>
      </c>
    </row>
    <row r="169" spans="1:18" x14ac:dyDescent="0.25">
      <c r="A169" s="178">
        <v>166</v>
      </c>
      <c r="B169" s="287" t="str">
        <f t="shared" si="25"/>
        <v>Turisztikai technikus</v>
      </c>
      <c r="C169" s="178" t="s">
        <v>1303</v>
      </c>
      <c r="D169" s="178">
        <v>5</v>
      </c>
      <c r="E169" s="178">
        <v>1015</v>
      </c>
      <c r="F169" s="178">
        <v>23</v>
      </c>
      <c r="G169" s="178">
        <v>7</v>
      </c>
      <c r="H169" s="178">
        <f t="shared" si="26"/>
        <v>1015</v>
      </c>
      <c r="I169" s="178">
        <f t="shared" si="27"/>
        <v>23</v>
      </c>
      <c r="J169" s="178" t="str">
        <f t="shared" si="28"/>
        <v>07</v>
      </c>
      <c r="K169" s="178" t="str">
        <f t="shared" si="29"/>
        <v>5 1015 23 07</v>
      </c>
      <c r="L169" s="177" t="s">
        <v>1411</v>
      </c>
      <c r="M169" s="178">
        <v>5</v>
      </c>
      <c r="N169" s="178">
        <v>2</v>
      </c>
      <c r="O169" s="178">
        <v>6</v>
      </c>
      <c r="P169" s="191">
        <f>IF(D169=4,VLOOKUP(C169,Szakmaszorzók!$B$2:$D$25,2,0),VLOOKUP(C169,Szakmaszorzók!$B$2:$D$25,3,0))</f>
        <v>2.2000000000000002</v>
      </c>
      <c r="Q169" s="192">
        <f>'Támogatás szorzat tényezői'!$C$2*'Támogatás szorzat tényezői'!$C$3*N169*P169</f>
        <v>792000.00000000012</v>
      </c>
      <c r="R169" s="192">
        <f>'Támogatás szorzat tényezői'!$C$2*'Támogatás szorzat tényezői'!$C$3*P169</f>
        <v>396000.00000000006</v>
      </c>
    </row>
    <row r="170" spans="1:18" x14ac:dyDescent="0.25">
      <c r="A170" s="178">
        <v>62</v>
      </c>
      <c r="B170" s="287" t="str">
        <f t="shared" si="25"/>
        <v>Útépítő és útfenntartó</v>
      </c>
      <c r="C170" s="178" t="s">
        <v>1282</v>
      </c>
      <c r="D170" s="178">
        <v>4</v>
      </c>
      <c r="E170" s="178">
        <v>732</v>
      </c>
      <c r="F170" s="178">
        <v>6</v>
      </c>
      <c r="G170" s="178">
        <v>15</v>
      </c>
      <c r="H170" s="178" t="str">
        <f t="shared" si="26"/>
        <v>0732</v>
      </c>
      <c r="I170" s="178" t="str">
        <f t="shared" si="27"/>
        <v>06</v>
      </c>
      <c r="J170" s="178">
        <f t="shared" si="28"/>
        <v>15</v>
      </c>
      <c r="K170" s="178" t="str">
        <f t="shared" si="29"/>
        <v>4 0732 06 15</v>
      </c>
      <c r="L170" s="177" t="s">
        <v>1412</v>
      </c>
      <c r="M170" s="178">
        <v>3</v>
      </c>
      <c r="N170" s="178">
        <v>2</v>
      </c>
      <c r="O170" s="178">
        <v>4</v>
      </c>
      <c r="P170" s="191">
        <f>IF(D170=4,VLOOKUP(C170,Szakmaszorzók!$B$2:$D$25,2,0),VLOOKUP(C170,Szakmaszorzók!$B$2:$D$25,3,0))</f>
        <v>2.42</v>
      </c>
      <c r="Q170" s="192">
        <f>'Támogatás szorzat tényezői'!$C$2*'Támogatás szorzat tényezői'!$C$3*N170*P170</f>
        <v>871200</v>
      </c>
      <c r="R170" s="192">
        <f>'Támogatás szorzat tényezői'!$C$2*'Támogatás szorzat tényezői'!$C$3*P170</f>
        <v>435600</v>
      </c>
    </row>
    <row r="171" spans="1:18" x14ac:dyDescent="0.25">
      <c r="A171" s="178">
        <v>63</v>
      </c>
      <c r="B171" s="287" t="str">
        <f t="shared" si="25"/>
        <v>Útépítő, vasútépítő és -fenntartó technikus</v>
      </c>
      <c r="C171" s="178" t="s">
        <v>1282</v>
      </c>
      <c r="D171" s="178">
        <v>5</v>
      </c>
      <c r="E171" s="178">
        <v>732</v>
      </c>
      <c r="F171" s="178">
        <v>6</v>
      </c>
      <c r="G171" s="178">
        <v>16</v>
      </c>
      <c r="H171" s="178" t="str">
        <f t="shared" si="26"/>
        <v>0732</v>
      </c>
      <c r="I171" s="178" t="str">
        <f t="shared" si="27"/>
        <v>06</v>
      </c>
      <c r="J171" s="178">
        <f t="shared" si="28"/>
        <v>16</v>
      </c>
      <c r="K171" s="178" t="str">
        <f t="shared" si="29"/>
        <v>5 0732 06 16</v>
      </c>
      <c r="L171" s="177" t="s">
        <v>1413</v>
      </c>
      <c r="M171" s="178">
        <v>5</v>
      </c>
      <c r="N171" s="178">
        <v>2</v>
      </c>
      <c r="O171" s="178">
        <v>5</v>
      </c>
      <c r="P171" s="191">
        <f>IF(D171=4,VLOOKUP(C171,Szakmaszorzók!$B$2:$D$25,2,0),VLOOKUP(C171,Szakmaszorzók!$B$2:$D$25,3,0))</f>
        <v>2.42</v>
      </c>
      <c r="Q171" s="192">
        <f>'Támogatás szorzat tényezői'!$C$2*'Támogatás szorzat tényezői'!$C$3*N171*P171</f>
        <v>871200</v>
      </c>
      <c r="R171" s="192">
        <f>'Támogatás szorzat tényezői'!$C$2*'Támogatás szorzat tényezői'!$C$3*P171</f>
        <v>435600</v>
      </c>
    </row>
    <row r="172" spans="1:18" x14ac:dyDescent="0.25">
      <c r="A172" s="178">
        <v>72</v>
      </c>
      <c r="B172" s="287" t="str">
        <f t="shared" si="25"/>
        <v>Vállalkozási ügyviteli ügyintéző</v>
      </c>
      <c r="C172" s="178" t="s">
        <v>1389</v>
      </c>
      <c r="D172" s="178">
        <v>5</v>
      </c>
      <c r="E172" s="178">
        <v>411</v>
      </c>
      <c r="F172" s="178">
        <v>9</v>
      </c>
      <c r="G172" s="178">
        <v>2</v>
      </c>
      <c r="H172" s="178" t="str">
        <f t="shared" si="26"/>
        <v>0411</v>
      </c>
      <c r="I172" s="178" t="str">
        <f t="shared" si="27"/>
        <v>09</v>
      </c>
      <c r="J172" s="178" t="str">
        <f t="shared" si="28"/>
        <v>02</v>
      </c>
      <c r="K172" s="178" t="str">
        <f t="shared" si="29"/>
        <v>5 0411 09 02</v>
      </c>
      <c r="L172" s="177" t="s">
        <v>1414</v>
      </c>
      <c r="M172" s="178">
        <v>5</v>
      </c>
      <c r="N172" s="178">
        <v>2</v>
      </c>
      <c r="O172" s="178">
        <v>6</v>
      </c>
      <c r="P172" s="191">
        <f>IF(D172=4,VLOOKUP(C172,Szakmaszorzók!$B$2:$D$25,2,0),VLOOKUP(C172,Szakmaszorzók!$B$2:$D$25,3,0))</f>
        <v>2.2000000000000002</v>
      </c>
      <c r="Q172" s="192">
        <f>'Támogatás szorzat tényezői'!$C$2*'Támogatás szorzat tényezői'!$C$3*N172*P172</f>
        <v>792000.00000000012</v>
      </c>
      <c r="R172" s="192">
        <f>'Támogatás szorzat tényezői'!$C$2*'Támogatás szorzat tényezői'!$C$3*P172</f>
        <v>396000.00000000006</v>
      </c>
    </row>
    <row r="173" spans="1:18" x14ac:dyDescent="0.25">
      <c r="A173" s="178">
        <v>109</v>
      </c>
      <c r="B173" s="287" t="str">
        <f t="shared" si="25"/>
        <v>Vasútforgalmi szolgálattevő technikus</v>
      </c>
      <c r="C173" s="178" t="s">
        <v>1340</v>
      </c>
      <c r="D173" s="178">
        <v>5</v>
      </c>
      <c r="E173" s="178">
        <v>1041</v>
      </c>
      <c r="F173" s="178">
        <v>15</v>
      </c>
      <c r="G173" s="178">
        <v>8</v>
      </c>
      <c r="H173" s="178">
        <f t="shared" si="26"/>
        <v>1041</v>
      </c>
      <c r="I173" s="178">
        <f t="shared" si="27"/>
        <v>15</v>
      </c>
      <c r="J173" s="178" t="str">
        <f t="shared" si="28"/>
        <v>08</v>
      </c>
      <c r="K173" s="178" t="str">
        <f t="shared" si="29"/>
        <v>5 1041 15 08</v>
      </c>
      <c r="L173" s="177" t="s">
        <v>1415</v>
      </c>
      <c r="M173" s="178">
        <v>5</v>
      </c>
      <c r="N173" s="178">
        <v>2</v>
      </c>
      <c r="O173" s="178">
        <v>5</v>
      </c>
      <c r="P173" s="191">
        <f>IF(D173=4,VLOOKUP(C173,Szakmaszorzók!$B$2:$D$25,2,0),VLOOKUP(C173,Szakmaszorzók!$B$2:$D$25,3,0))</f>
        <v>2.2000000000000002</v>
      </c>
      <c r="Q173" s="192">
        <f>'Támogatás szorzat tényezői'!$C$2*'Támogatás szorzat tényezői'!$C$3*N173*P173</f>
        <v>792000.00000000012</v>
      </c>
      <c r="R173" s="192">
        <f>'Támogatás szorzat tényezői'!$C$2*'Támogatás szorzat tényezői'!$C$3*P173</f>
        <v>396000.00000000006</v>
      </c>
    </row>
    <row r="174" spans="1:18" x14ac:dyDescent="0.25">
      <c r="A174" s="178">
        <v>85</v>
      </c>
      <c r="B174" s="287" t="str">
        <f t="shared" si="25"/>
        <v>Vasútijármű-szerelő technikus</v>
      </c>
      <c r="C174" s="178" t="s">
        <v>1301</v>
      </c>
      <c r="D174" s="178">
        <v>5</v>
      </c>
      <c r="E174" s="178">
        <v>716</v>
      </c>
      <c r="F174" s="178">
        <v>10</v>
      </c>
      <c r="G174" s="178">
        <v>13</v>
      </c>
      <c r="H174" s="178" t="str">
        <f t="shared" si="26"/>
        <v>0716</v>
      </c>
      <c r="I174" s="178">
        <f t="shared" si="27"/>
        <v>10</v>
      </c>
      <c r="J174" s="178">
        <f t="shared" si="28"/>
        <v>13</v>
      </c>
      <c r="K174" s="178" t="str">
        <f t="shared" si="29"/>
        <v>5 0716 10 13</v>
      </c>
      <c r="L174" s="177" t="s">
        <v>1416</v>
      </c>
      <c r="M174" s="178">
        <v>5</v>
      </c>
      <c r="N174" s="178">
        <v>2</v>
      </c>
      <c r="O174" s="178">
        <v>6</v>
      </c>
      <c r="P174" s="191">
        <f>IF(D174=4,VLOOKUP(C174,Szakmaszorzók!$B$2:$D$25,2,0),VLOOKUP(C174,Szakmaszorzók!$B$2:$D$25,3,0))</f>
        <v>2.85</v>
      </c>
      <c r="Q174" s="192">
        <f>'Támogatás szorzat tényezői'!$C$2*'Támogatás szorzat tényezői'!$C$3*N174*P174</f>
        <v>1026000</v>
      </c>
      <c r="R174" s="192">
        <f>'Támogatás szorzat tényezői'!$C$2*'Támogatás szorzat tényezői'!$C$3*P174</f>
        <v>513000</v>
      </c>
    </row>
    <row r="175" spans="1:18" x14ac:dyDescent="0.25">
      <c r="A175" s="178">
        <v>175</v>
      </c>
      <c r="B175" s="287" t="str">
        <f t="shared" si="25"/>
        <v>Vegyész technikus</v>
      </c>
      <c r="C175" s="178" t="s">
        <v>1280</v>
      </c>
      <c r="D175" s="178">
        <v>5</v>
      </c>
      <c r="E175" s="178">
        <v>711</v>
      </c>
      <c r="F175" s="178">
        <v>24</v>
      </c>
      <c r="G175" s="178">
        <v>8</v>
      </c>
      <c r="H175" s="178" t="str">
        <f t="shared" si="26"/>
        <v>0711</v>
      </c>
      <c r="I175" s="178">
        <f t="shared" si="27"/>
        <v>24</v>
      </c>
      <c r="J175" s="178" t="str">
        <f t="shared" si="28"/>
        <v>08</v>
      </c>
      <c r="K175" s="178" t="str">
        <f t="shared" si="29"/>
        <v>5 0711 24 08</v>
      </c>
      <c r="L175" s="177" t="s">
        <v>354</v>
      </c>
      <c r="M175" s="178">
        <v>5</v>
      </c>
      <c r="N175" s="178">
        <v>2</v>
      </c>
      <c r="O175" s="178">
        <v>6</v>
      </c>
      <c r="P175" s="191">
        <f>IF(D175=4,VLOOKUP(C175,Szakmaszorzók!$B$2:$D$25,2,0),VLOOKUP(C175,Szakmaszorzók!$B$2:$D$25,3,0))</f>
        <v>2.85</v>
      </c>
      <c r="Q175" s="192">
        <f>'Támogatás szorzat tényezői'!$C$2*'Támogatás szorzat tényezői'!$C$3*N175*P175</f>
        <v>1026000</v>
      </c>
      <c r="R175" s="192">
        <f>'Támogatás szorzat tényezői'!$C$2*'Támogatás szorzat tényezői'!$C$3*P175</f>
        <v>513000</v>
      </c>
    </row>
    <row r="176" spans="1:18" x14ac:dyDescent="0.25">
      <c r="A176" s="178">
        <v>176</v>
      </c>
      <c r="B176" s="287" t="str">
        <f t="shared" si="25"/>
        <v>Vegyipari rendszerkezelő</v>
      </c>
      <c r="C176" s="178" t="s">
        <v>1280</v>
      </c>
      <c r="D176" s="178">
        <v>4</v>
      </c>
      <c r="E176" s="178">
        <v>711</v>
      </c>
      <c r="F176" s="178">
        <v>24</v>
      </c>
      <c r="G176" s="178">
        <v>9</v>
      </c>
      <c r="H176" s="178" t="str">
        <f t="shared" si="26"/>
        <v>0711</v>
      </c>
      <c r="I176" s="178">
        <f t="shared" si="27"/>
        <v>24</v>
      </c>
      <c r="J176" s="178" t="str">
        <f t="shared" si="28"/>
        <v>09</v>
      </c>
      <c r="K176" s="178" t="str">
        <f t="shared" si="29"/>
        <v>4 0711 24 09</v>
      </c>
      <c r="L176" s="177" t="s">
        <v>355</v>
      </c>
      <c r="M176" s="178">
        <v>3</v>
      </c>
      <c r="N176" s="178">
        <v>2</v>
      </c>
      <c r="O176" s="178">
        <v>5</v>
      </c>
      <c r="P176" s="191">
        <f>IF(D176=4,VLOOKUP(C176,Szakmaszorzók!$B$2:$D$25,2,0),VLOOKUP(C176,Szakmaszorzók!$B$2:$D$25,3,0))</f>
        <v>2.42</v>
      </c>
      <c r="Q176" s="192">
        <f>'Támogatás szorzat tényezői'!$C$2*'Támogatás szorzat tényezői'!$C$3*N176*P176</f>
        <v>871200</v>
      </c>
      <c r="R176" s="192">
        <f>'Támogatás szorzat tényezői'!$C$2*'Támogatás szorzat tényezői'!$C$3*P176</f>
        <v>435600</v>
      </c>
    </row>
    <row r="177" spans="1:18" x14ac:dyDescent="0.25">
      <c r="A177" s="178">
        <v>167</v>
      </c>
      <c r="B177" s="287" t="str">
        <f t="shared" si="25"/>
        <v>Vendégtéri szaktechnikus</v>
      </c>
      <c r="C177" s="178" t="s">
        <v>1303</v>
      </c>
      <c r="D177" s="178">
        <v>5</v>
      </c>
      <c r="E177" s="178">
        <v>1013</v>
      </c>
      <c r="F177" s="178">
        <v>23</v>
      </c>
      <c r="G177" s="178">
        <v>8</v>
      </c>
      <c r="H177" s="178">
        <f t="shared" si="26"/>
        <v>1013</v>
      </c>
      <c r="I177" s="178">
        <f t="shared" si="27"/>
        <v>23</v>
      </c>
      <c r="J177" s="178" t="str">
        <f t="shared" si="28"/>
        <v>08</v>
      </c>
      <c r="K177" s="178" t="str">
        <f t="shared" si="29"/>
        <v>5 1013 23 08</v>
      </c>
      <c r="L177" s="177" t="s">
        <v>1417</v>
      </c>
      <c r="M177" s="178">
        <v>5</v>
      </c>
      <c r="N177" s="178">
        <v>2</v>
      </c>
      <c r="O177" s="178">
        <v>6</v>
      </c>
      <c r="P177" s="191">
        <f>IF(D177=4,VLOOKUP(C177,Szakmaszorzók!$B$2:$D$25,2,0),VLOOKUP(C177,Szakmaszorzók!$B$2:$D$25,3,0))</f>
        <v>2.2000000000000002</v>
      </c>
      <c r="Q177" s="192">
        <f>'Támogatás szorzat tényezői'!$C$2*'Támogatás szorzat tényezői'!$C$3*N177*P177</f>
        <v>792000.00000000012</v>
      </c>
      <c r="R177" s="192">
        <f>'Támogatás szorzat tényezői'!$C$2*'Támogatás szorzat tényezői'!$C$3*P177</f>
        <v>396000.00000000006</v>
      </c>
    </row>
    <row r="178" spans="1:18" x14ac:dyDescent="0.25">
      <c r="A178" s="178">
        <v>29</v>
      </c>
      <c r="B178" s="287" t="str">
        <f t="shared" si="25"/>
        <v>Villanyszerelő</v>
      </c>
      <c r="C178" s="178" t="s">
        <v>1290</v>
      </c>
      <c r="D178" s="178">
        <v>4</v>
      </c>
      <c r="E178" s="178">
        <v>713</v>
      </c>
      <c r="F178" s="178">
        <v>4</v>
      </c>
      <c r="G178" s="178">
        <v>7</v>
      </c>
      <c r="H178" s="178" t="str">
        <f t="shared" si="26"/>
        <v>0713</v>
      </c>
      <c r="I178" s="178" t="str">
        <f t="shared" si="27"/>
        <v>04</v>
      </c>
      <c r="J178" s="178" t="str">
        <f t="shared" si="28"/>
        <v>07</v>
      </c>
      <c r="K178" s="178" t="str">
        <f t="shared" si="29"/>
        <v>4 0713 04 07</v>
      </c>
      <c r="L178" s="177" t="s">
        <v>332</v>
      </c>
      <c r="M178" s="178">
        <v>3</v>
      </c>
      <c r="N178" s="178">
        <v>2</v>
      </c>
      <c r="O178" s="178">
        <v>5</v>
      </c>
      <c r="P178" s="191">
        <f>IF(D178=4,VLOOKUP(C178,Szakmaszorzók!$B$2:$D$25,2,0),VLOOKUP(C178,Szakmaszorzók!$B$2:$D$25,3,0))</f>
        <v>2.42</v>
      </c>
      <c r="Q178" s="192">
        <f>'Támogatás szorzat tényezői'!$C$2*'Támogatás szorzat tényezői'!$C$3*N178*P178</f>
        <v>871200</v>
      </c>
      <c r="R178" s="192">
        <f>'Támogatás szorzat tényezői'!$C$2*'Támogatás szorzat tényezői'!$C$3*P178</f>
        <v>435600</v>
      </c>
    </row>
    <row r="179" spans="1:18" x14ac:dyDescent="0.25">
      <c r="A179" s="178">
        <v>67</v>
      </c>
      <c r="B179" s="287" t="str">
        <f t="shared" si="25"/>
        <v>Víz- és csatornarendszer-szerelő</v>
      </c>
      <c r="C179" s="178" t="s">
        <v>1315</v>
      </c>
      <c r="D179" s="178">
        <v>4</v>
      </c>
      <c r="E179" s="178">
        <v>732</v>
      </c>
      <c r="F179" s="178">
        <v>7</v>
      </c>
      <c r="G179" s="178">
        <v>4</v>
      </c>
      <c r="H179" s="178" t="str">
        <f t="shared" si="26"/>
        <v>0732</v>
      </c>
      <c r="I179" s="178" t="str">
        <f t="shared" si="27"/>
        <v>07</v>
      </c>
      <c r="J179" s="178" t="str">
        <f t="shared" si="28"/>
        <v>04</v>
      </c>
      <c r="K179" s="178" t="str">
        <f t="shared" si="29"/>
        <v>4 0732 07 04</v>
      </c>
      <c r="L179" s="177" t="s">
        <v>1418</v>
      </c>
      <c r="M179" s="178">
        <v>3</v>
      </c>
      <c r="N179" s="178">
        <v>2</v>
      </c>
      <c r="O179" s="178">
        <v>5</v>
      </c>
      <c r="P179" s="191">
        <f>IF(D179=4,VLOOKUP(C179,Szakmaszorzók!$B$2:$D$25,2,0),VLOOKUP(C179,Szakmaszorzók!$B$2:$D$25,3,0))</f>
        <v>2.42</v>
      </c>
      <c r="Q179" s="192">
        <f>'Támogatás szorzat tényezői'!$C$2*'Támogatás szorzat tényezői'!$C$3*N179*P179</f>
        <v>871200</v>
      </c>
      <c r="R179" s="192">
        <f>'Támogatás szorzat tényezői'!$C$2*'Támogatás szorzat tényezői'!$C$3*P179</f>
        <v>435600</v>
      </c>
    </row>
    <row r="180" spans="1:18" x14ac:dyDescent="0.25">
      <c r="A180" s="178">
        <v>100</v>
      </c>
      <c r="B180" s="287" t="str">
        <f t="shared" si="25"/>
        <v>Vízügyi munkatárs</v>
      </c>
      <c r="C180" s="178" t="s">
        <v>1347</v>
      </c>
      <c r="D180" s="178">
        <v>4</v>
      </c>
      <c r="E180" s="178">
        <v>1021</v>
      </c>
      <c r="F180" s="178">
        <v>14</v>
      </c>
      <c r="G180" s="178">
        <v>3</v>
      </c>
      <c r="H180" s="178">
        <f t="shared" si="26"/>
        <v>1021</v>
      </c>
      <c r="I180" s="178">
        <f t="shared" si="27"/>
        <v>14</v>
      </c>
      <c r="J180" s="178" t="str">
        <f t="shared" si="28"/>
        <v>03</v>
      </c>
      <c r="K180" s="178" t="str">
        <f t="shared" si="29"/>
        <v>4 1021 14 03</v>
      </c>
      <c r="L180" s="177" t="s">
        <v>1419</v>
      </c>
      <c r="M180" s="178">
        <v>3</v>
      </c>
      <c r="N180" s="178">
        <v>2</v>
      </c>
      <c r="O180" s="178">
        <v>4</v>
      </c>
      <c r="P180" s="191">
        <f>IF(D180=4,VLOOKUP(C180,Szakmaszorzók!$B$2:$D$25,2,0),VLOOKUP(C180,Szakmaszorzók!$B$2:$D$25,3,0))</f>
        <v>2.42</v>
      </c>
      <c r="Q180" s="192">
        <f>'Támogatás szorzat tényezői'!$C$2*'Támogatás szorzat tényezői'!$C$3*N180*P180</f>
        <v>871200</v>
      </c>
      <c r="R180" s="192">
        <f>'Támogatás szorzat tényezői'!$C$2*'Támogatás szorzat tényezői'!$C$3*P180</f>
        <v>435600</v>
      </c>
    </row>
    <row r="181" spans="1:18" x14ac:dyDescent="0.25">
      <c r="A181" s="178">
        <v>101</v>
      </c>
      <c r="B181" s="287" t="str">
        <f t="shared" si="25"/>
        <v>Vízügyi technikus</v>
      </c>
      <c r="C181" s="178" t="s">
        <v>1347</v>
      </c>
      <c r="D181" s="178">
        <v>5</v>
      </c>
      <c r="E181" s="178">
        <v>1021</v>
      </c>
      <c r="F181" s="178">
        <v>14</v>
      </c>
      <c r="G181" s="178">
        <v>4</v>
      </c>
      <c r="H181" s="178">
        <f t="shared" si="26"/>
        <v>1021</v>
      </c>
      <c r="I181" s="178">
        <f t="shared" si="27"/>
        <v>14</v>
      </c>
      <c r="J181" s="178" t="str">
        <f t="shared" si="28"/>
        <v>04</v>
      </c>
      <c r="K181" s="178" t="str">
        <f t="shared" si="29"/>
        <v>5 1021 14 04</v>
      </c>
      <c r="L181" s="177" t="s">
        <v>1420</v>
      </c>
      <c r="M181" s="178">
        <v>5</v>
      </c>
      <c r="N181" s="178">
        <v>2</v>
      </c>
      <c r="O181" s="178">
        <v>6</v>
      </c>
      <c r="P181" s="191">
        <f>IF(D181=4,VLOOKUP(C181,Szakmaszorzók!$B$2:$D$25,2,0),VLOOKUP(C181,Szakmaszorzók!$B$2:$D$25,3,0))</f>
        <v>2.85</v>
      </c>
      <c r="Q181" s="192">
        <f>'Támogatás szorzat tényezői'!$C$2*'Támogatás szorzat tényezői'!$C$3*N181*P181</f>
        <v>1026000</v>
      </c>
      <c r="R181" s="192">
        <f>'Támogatás szorzat tényezői'!$C$2*'Támogatás szorzat tényezői'!$C$3*P181</f>
        <v>513000</v>
      </c>
    </row>
    <row r="182" spans="1:18" ht="15.75" x14ac:dyDescent="0.25">
      <c r="A182" s="180"/>
      <c r="B182" s="180"/>
    </row>
    <row r="183" spans="1:18" x14ac:dyDescent="0.25">
      <c r="A183" s="181"/>
      <c r="B183" s="181"/>
    </row>
    <row r="186" spans="1:18" x14ac:dyDescent="0.25">
      <c r="A186" s="182"/>
      <c r="B186" s="182"/>
    </row>
    <row r="187" spans="1:18" x14ac:dyDescent="0.25">
      <c r="A187" s="182"/>
      <c r="B187" s="182"/>
    </row>
    <row r="188" spans="1:18" x14ac:dyDescent="0.25">
      <c r="A188" s="182"/>
      <c r="B188" s="182"/>
    </row>
    <row r="189" spans="1:18" x14ac:dyDescent="0.25">
      <c r="A189" s="182"/>
      <c r="B189" s="182"/>
    </row>
    <row r="190" spans="1:18" x14ac:dyDescent="0.25">
      <c r="A190" s="182"/>
      <c r="B190" s="182"/>
    </row>
    <row r="191" spans="1:18" x14ac:dyDescent="0.25">
      <c r="A191" s="182"/>
      <c r="B191" s="182"/>
    </row>
    <row r="192" spans="1:18" x14ac:dyDescent="0.25">
      <c r="A192" s="182"/>
      <c r="B192" s="182"/>
    </row>
    <row r="193" spans="1:2" x14ac:dyDescent="0.25">
      <c r="A193" s="182"/>
      <c r="B193" s="182"/>
    </row>
    <row r="194" spans="1:2" x14ac:dyDescent="0.25">
      <c r="A194" s="182"/>
      <c r="B194" s="182"/>
    </row>
  </sheetData>
  <autoFilter ref="A6:R181">
    <sortState ref="A7:R181">
      <sortCondition ref="B6:B181"/>
    </sortState>
  </autoFilter>
  <pageMargins left="0.7" right="0.7" top="0.75" bottom="0.75" header="0.3" footer="0.3"/>
  <pageSetup paperSize="9" scale="4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8"/>
  <sheetViews>
    <sheetView zoomScale="80" zoomScaleNormal="80" workbookViewId="0">
      <selection activeCell="L91" sqref="L91"/>
    </sheetView>
  </sheetViews>
  <sheetFormatPr defaultColWidth="9.140625" defaultRowHeight="15" x14ac:dyDescent="0.25"/>
  <cols>
    <col min="1" max="1" width="6.5703125" style="174" customWidth="1"/>
    <col min="2" max="2" width="53.28515625" style="174" customWidth="1"/>
    <col min="3" max="3" width="49.85546875" style="174" customWidth="1"/>
    <col min="4" max="4" width="10.7109375" style="174" customWidth="1"/>
    <col min="5" max="7" width="9.140625" style="174" hidden="1" customWidth="1"/>
    <col min="8" max="8" width="8.85546875" style="174" customWidth="1"/>
    <col min="9" max="10" width="8.42578125" style="174" customWidth="1"/>
    <col min="11" max="11" width="13.42578125" style="174" customWidth="1"/>
    <col min="12" max="12" width="53.42578125" style="174" customWidth="1"/>
    <col min="13" max="13" width="12.7109375" style="174" customWidth="1"/>
    <col min="14" max="14" width="11.85546875" style="174" customWidth="1"/>
    <col min="15" max="15" width="11.5703125" style="174" customWidth="1"/>
    <col min="16" max="16" width="13" style="174" customWidth="1"/>
    <col min="17" max="17" width="13.140625" style="174" customWidth="1"/>
    <col min="18" max="18" width="15" style="174" customWidth="1"/>
    <col min="19" max="19" width="9.140625" style="174"/>
    <col min="20" max="22" width="9.140625" style="174" customWidth="1"/>
    <col min="23" max="16384" width="9.140625" style="174"/>
  </cols>
  <sheetData>
    <row r="1" spans="1:18" x14ac:dyDescent="0.25">
      <c r="A1" s="183" t="s">
        <v>3207</v>
      </c>
    </row>
    <row r="2" spans="1:18" ht="18.75" x14ac:dyDescent="0.25">
      <c r="K2" s="176" t="s">
        <v>3206</v>
      </c>
    </row>
    <row r="4" spans="1:18" x14ac:dyDescent="0.25">
      <c r="A4" s="177" t="s">
        <v>764</v>
      </c>
      <c r="B4" s="177"/>
      <c r="C4" s="178" t="s">
        <v>1270</v>
      </c>
      <c r="D4" s="178" t="s">
        <v>1271</v>
      </c>
      <c r="E4" s="178" t="s">
        <v>1272</v>
      </c>
      <c r="F4" s="178" t="s">
        <v>1273</v>
      </c>
      <c r="G4" s="178" t="s">
        <v>1274</v>
      </c>
      <c r="H4" s="178" t="s">
        <v>1272</v>
      </c>
      <c r="I4" s="178" t="s">
        <v>1273</v>
      </c>
      <c r="J4" s="178" t="s">
        <v>1274</v>
      </c>
      <c r="K4" s="178"/>
      <c r="L4" s="178" t="s">
        <v>1269</v>
      </c>
      <c r="M4" s="178" t="s">
        <v>1275</v>
      </c>
      <c r="N4" s="178" t="s">
        <v>375</v>
      </c>
      <c r="O4" s="178" t="s">
        <v>1276</v>
      </c>
    </row>
    <row r="5" spans="1:18" ht="89.25" x14ac:dyDescent="0.25">
      <c r="A5" s="178">
        <v>1</v>
      </c>
      <c r="B5" s="179" t="s">
        <v>1987</v>
      </c>
      <c r="C5" s="179" t="s">
        <v>1985</v>
      </c>
      <c r="D5" s="179" t="s">
        <v>1992</v>
      </c>
      <c r="E5" s="179" t="s">
        <v>1279</v>
      </c>
      <c r="F5" s="179" t="s">
        <v>1988</v>
      </c>
      <c r="G5" s="179" t="s">
        <v>1989</v>
      </c>
      <c r="H5" s="179" t="s">
        <v>1279</v>
      </c>
      <c r="I5" s="179" t="s">
        <v>1988</v>
      </c>
      <c r="J5" s="179" t="s">
        <v>1989</v>
      </c>
      <c r="K5" s="179" t="s">
        <v>1277</v>
      </c>
      <c r="L5" s="179" t="s">
        <v>1987</v>
      </c>
      <c r="M5" s="179" t="s">
        <v>1969</v>
      </c>
      <c r="N5" s="179" t="s">
        <v>1991</v>
      </c>
      <c r="O5" s="179" t="s">
        <v>1993</v>
      </c>
      <c r="P5" s="179" t="s">
        <v>1970</v>
      </c>
      <c r="Q5" s="179" t="s">
        <v>2020</v>
      </c>
      <c r="R5" s="179" t="s">
        <v>2021</v>
      </c>
    </row>
    <row r="6" spans="1:18" x14ac:dyDescent="0.25">
      <c r="A6" s="178">
        <v>2</v>
      </c>
      <c r="B6" s="177"/>
      <c r="C6" s="177" t="s">
        <v>764</v>
      </c>
      <c r="D6" s="178" t="s">
        <v>764</v>
      </c>
      <c r="E6" s="178" t="s">
        <v>764</v>
      </c>
      <c r="F6" s="178" t="s">
        <v>764</v>
      </c>
      <c r="G6" s="178"/>
      <c r="H6" s="178"/>
      <c r="I6" s="178"/>
      <c r="J6" s="178"/>
      <c r="K6" s="178"/>
      <c r="L6" s="177"/>
      <c r="M6" s="178"/>
      <c r="N6" s="178"/>
      <c r="O6" s="178"/>
      <c r="P6" s="191"/>
      <c r="Q6" s="192"/>
      <c r="R6" s="192"/>
    </row>
    <row r="7" spans="1:18" x14ac:dyDescent="0.25">
      <c r="A7" s="178">
        <v>168</v>
      </c>
      <c r="B7" s="177" t="s">
        <v>41</v>
      </c>
      <c r="C7" s="178" t="s">
        <v>1280</v>
      </c>
      <c r="D7" s="178">
        <v>4</v>
      </c>
      <c r="E7" s="178">
        <v>722</v>
      </c>
      <c r="F7" s="178">
        <v>24</v>
      </c>
      <c r="G7" s="178">
        <v>1</v>
      </c>
      <c r="H7" s="178" t="str">
        <f t="shared" ref="H7:H38" si="0">IF(E7&lt;1000,"0"&amp;E7,E7)</f>
        <v>0722</v>
      </c>
      <c r="I7" s="178">
        <f t="shared" ref="I7:I38" si="1">IF(F7&lt;10,"0"&amp;F7,F7)</f>
        <v>24</v>
      </c>
      <c r="J7" s="178" t="str">
        <f t="shared" ref="J7:J38" si="2">IF(G7&lt;10,"0"&amp;G7,G7)</f>
        <v>01</v>
      </c>
      <c r="K7" s="178" t="str">
        <f t="shared" ref="K7:K38" si="3">D7&amp;" "&amp;H7&amp;" "&amp;I7&amp;" "&amp;J7</f>
        <v>4 0722 24 01</v>
      </c>
      <c r="L7" s="177" t="s">
        <v>41</v>
      </c>
      <c r="M7" s="178">
        <v>3</v>
      </c>
      <c r="N7" s="178">
        <v>2</v>
      </c>
      <c r="O7" s="178">
        <v>5</v>
      </c>
      <c r="P7" s="191">
        <f>IF(D7=4,VLOOKUP(C7,Szakmaszorzók!$B$2:$D$25,2,0),VLOOKUP(C7,Szakmaszorzók!$B$2:$D$25,3,0))</f>
        <v>2.42</v>
      </c>
      <c r="Q7" s="192">
        <f>'Támogatás szorzat tényezői'!$C$2*'Támogatás szorzat tényezői'!$C$3*N7*P7</f>
        <v>871200</v>
      </c>
      <c r="R7" s="192">
        <f>'Támogatás szorzat tényezői'!$C$2*'Támogatás szorzat tényezői'!$C$3*P7</f>
        <v>435600</v>
      </c>
    </row>
    <row r="8" spans="1:18" x14ac:dyDescent="0.25">
      <c r="A8" s="178">
        <v>48</v>
      </c>
      <c r="B8" s="177" t="s">
        <v>42</v>
      </c>
      <c r="C8" s="178" t="s">
        <v>1282</v>
      </c>
      <c r="D8" s="178">
        <v>4</v>
      </c>
      <c r="E8" s="178">
        <v>732</v>
      </c>
      <c r="F8" s="178">
        <v>6</v>
      </c>
      <c r="G8" s="178">
        <v>1</v>
      </c>
      <c r="H8" s="178" t="str">
        <f t="shared" si="0"/>
        <v>0732</v>
      </c>
      <c r="I8" s="178" t="str">
        <f t="shared" si="1"/>
        <v>06</v>
      </c>
      <c r="J8" s="178" t="str">
        <f t="shared" si="2"/>
        <v>01</v>
      </c>
      <c r="K8" s="178" t="str">
        <f t="shared" si="3"/>
        <v>4 0732 06 01</v>
      </c>
      <c r="L8" s="177" t="s">
        <v>42</v>
      </c>
      <c r="M8" s="178">
        <v>3</v>
      </c>
      <c r="N8" s="178">
        <v>2</v>
      </c>
      <c r="O8" s="178">
        <v>4</v>
      </c>
      <c r="P8" s="191">
        <f>IF(D8=4,VLOOKUP(C8,Szakmaszorzók!$B$2:$D$25,2,0),VLOOKUP(C8,Szakmaszorzók!$B$2:$D$25,3,0))</f>
        <v>2.42</v>
      </c>
      <c r="Q8" s="192">
        <f>'Támogatás szorzat tényezői'!$C$2*'Támogatás szorzat tényezői'!$C$3*N8*P8</f>
        <v>871200</v>
      </c>
      <c r="R8" s="192">
        <f>'Támogatás szorzat tényezői'!$C$2*'Támogatás szorzat tényezői'!$C$3*P8</f>
        <v>435600</v>
      </c>
    </row>
    <row r="9" spans="1:18" x14ac:dyDescent="0.25">
      <c r="A9" s="178">
        <v>13</v>
      </c>
      <c r="B9" s="177" t="s">
        <v>1284</v>
      </c>
      <c r="C9" s="178" t="s">
        <v>1285</v>
      </c>
      <c r="D9" s="178">
        <v>5</v>
      </c>
      <c r="E9" s="178">
        <v>913</v>
      </c>
      <c r="F9" s="178">
        <v>3</v>
      </c>
      <c r="G9" s="178">
        <v>1</v>
      </c>
      <c r="H9" s="178" t="str">
        <f t="shared" si="0"/>
        <v>0913</v>
      </c>
      <c r="I9" s="178" t="str">
        <f t="shared" si="1"/>
        <v>03</v>
      </c>
      <c r="J9" s="178" t="str">
        <f t="shared" si="2"/>
        <v>01</v>
      </c>
      <c r="K9" s="178" t="str">
        <f t="shared" si="3"/>
        <v>5 0913 03 01</v>
      </c>
      <c r="L9" s="177" t="s">
        <v>1284</v>
      </c>
      <c r="M9" s="178">
        <v>6</v>
      </c>
      <c r="N9" s="178">
        <v>3</v>
      </c>
      <c r="O9" s="178">
        <v>5</v>
      </c>
      <c r="P9" s="191">
        <f>IF(D9=4,VLOOKUP(C9,Szakmaszorzók!$B$2:$D$25,2,0),VLOOKUP(C9,Szakmaszorzók!$B$2:$D$25,3,0))</f>
        <v>2.2000000000000002</v>
      </c>
      <c r="Q9" s="192">
        <f>'Támogatás szorzat tényezői'!$C$2*'Támogatás szorzat tényezői'!$C$3*N9*P9</f>
        <v>1188000</v>
      </c>
      <c r="R9" s="192">
        <f>'Támogatás szorzat tényezői'!$C$2*'Támogatás szorzat tényezői'!$C$3*P9</f>
        <v>396000.00000000006</v>
      </c>
    </row>
    <row r="10" spans="1:18" x14ac:dyDescent="0.25">
      <c r="A10" s="178">
        <v>136</v>
      </c>
      <c r="B10" s="177" t="s">
        <v>1286</v>
      </c>
      <c r="C10" s="178" t="s">
        <v>1287</v>
      </c>
      <c r="D10" s="178">
        <v>5</v>
      </c>
      <c r="E10" s="178">
        <v>716</v>
      </c>
      <c r="F10" s="178">
        <v>19</v>
      </c>
      <c r="G10" s="178">
        <v>1</v>
      </c>
      <c r="H10" s="178" t="str">
        <f t="shared" si="0"/>
        <v>0716</v>
      </c>
      <c r="I10" s="178">
        <f t="shared" si="1"/>
        <v>19</v>
      </c>
      <c r="J10" s="178" t="str">
        <f t="shared" si="2"/>
        <v>01</v>
      </c>
      <c r="K10" s="178" t="str">
        <f t="shared" si="3"/>
        <v>5 0716 19 01</v>
      </c>
      <c r="L10" s="177" t="s">
        <v>1286</v>
      </c>
      <c r="M10" s="178">
        <v>6</v>
      </c>
      <c r="N10" s="178">
        <v>3</v>
      </c>
      <c r="O10" s="178">
        <v>7</v>
      </c>
      <c r="P10" s="191">
        <f>IF(D10=4,VLOOKUP(C10,Szakmaszorzók!$B$2:$D$25,2,0),VLOOKUP(C10,Szakmaszorzók!$B$2:$D$25,3,0))</f>
        <v>2.85</v>
      </c>
      <c r="Q10" s="192">
        <f>'Támogatás szorzat tényezői'!$C$2*'Támogatás szorzat tényezői'!$C$3*N10*P10</f>
        <v>1539000</v>
      </c>
      <c r="R10" s="192">
        <f>'Támogatás szorzat tényezői'!$C$2*'Támogatás szorzat tényezői'!$C$3*P10</f>
        <v>513000</v>
      </c>
    </row>
    <row r="11" spans="1:18" x14ac:dyDescent="0.25">
      <c r="A11" s="178">
        <v>68</v>
      </c>
      <c r="B11" s="177" t="s">
        <v>52</v>
      </c>
      <c r="C11" s="178" t="s">
        <v>1289</v>
      </c>
      <c r="D11" s="178">
        <v>4</v>
      </c>
      <c r="E11" s="178">
        <v>722</v>
      </c>
      <c r="F11" s="178">
        <v>8</v>
      </c>
      <c r="G11" s="178">
        <v>1</v>
      </c>
      <c r="H11" s="178" t="str">
        <f t="shared" si="0"/>
        <v>0722</v>
      </c>
      <c r="I11" s="178" t="str">
        <f t="shared" si="1"/>
        <v>08</v>
      </c>
      <c r="J11" s="178" t="str">
        <f t="shared" si="2"/>
        <v>01</v>
      </c>
      <c r="K11" s="178" t="str">
        <f t="shared" si="3"/>
        <v>4 0722 08 01</v>
      </c>
      <c r="L11" s="177" t="s">
        <v>52</v>
      </c>
      <c r="M11" s="178">
        <v>3</v>
      </c>
      <c r="N11" s="178">
        <v>2</v>
      </c>
      <c r="O11" s="178">
        <v>4</v>
      </c>
      <c r="P11" s="191">
        <f>IF(D11=4,VLOOKUP(C11,Szakmaszorzók!$B$2:$D$25,2,0),VLOOKUP(C11,Szakmaszorzók!$B$2:$D$25,3,0))</f>
        <v>2.42</v>
      </c>
      <c r="Q11" s="192">
        <f>'Támogatás szorzat tényezői'!$C$2*'Támogatás szorzat tényezői'!$C$3*N11*P11</f>
        <v>871200</v>
      </c>
      <c r="R11" s="192">
        <f>'Támogatás szorzat tényezői'!$C$2*'Támogatás szorzat tényezői'!$C$3*P11</f>
        <v>435600</v>
      </c>
    </row>
    <row r="12" spans="1:18" x14ac:dyDescent="0.25">
      <c r="A12" s="178">
        <v>137</v>
      </c>
      <c r="B12" s="177" t="s">
        <v>56</v>
      </c>
      <c r="C12" s="178" t="s">
        <v>1287</v>
      </c>
      <c r="D12" s="178">
        <v>4</v>
      </c>
      <c r="E12" s="178">
        <v>716</v>
      </c>
      <c r="F12" s="178">
        <v>19</v>
      </c>
      <c r="G12" s="178">
        <v>2</v>
      </c>
      <c r="H12" s="178" t="str">
        <f t="shared" si="0"/>
        <v>0716</v>
      </c>
      <c r="I12" s="178">
        <f t="shared" si="1"/>
        <v>19</v>
      </c>
      <c r="J12" s="178" t="str">
        <f t="shared" si="2"/>
        <v>02</v>
      </c>
      <c r="K12" s="178" t="str">
        <f t="shared" si="3"/>
        <v>4 0716 19 02</v>
      </c>
      <c r="L12" s="177" t="s">
        <v>56</v>
      </c>
      <c r="M12" s="178">
        <v>3</v>
      </c>
      <c r="N12" s="178">
        <v>2</v>
      </c>
      <c r="O12" s="178">
        <v>4</v>
      </c>
      <c r="P12" s="191">
        <f>IF(D12=4,VLOOKUP(C12,Szakmaszorzók!$B$2:$D$25,2,0),VLOOKUP(C12,Szakmaszorzók!$B$2:$D$25,3,0))</f>
        <v>2.85</v>
      </c>
      <c r="Q12" s="192">
        <f>'Támogatás szorzat tényezői'!$C$2*'Támogatás szorzat tényezői'!$C$3*N12*P12</f>
        <v>1026000</v>
      </c>
      <c r="R12" s="192">
        <f>'Támogatás szorzat tényezői'!$C$2*'Támogatás szorzat tényezői'!$C$3*P12</f>
        <v>513000</v>
      </c>
    </row>
    <row r="13" spans="1:18" x14ac:dyDescent="0.25">
      <c r="A13" s="178">
        <v>23</v>
      </c>
      <c r="B13" s="177" t="s">
        <v>58</v>
      </c>
      <c r="C13" s="178" t="s">
        <v>1290</v>
      </c>
      <c r="D13" s="178">
        <v>5</v>
      </c>
      <c r="E13" s="178">
        <v>714</v>
      </c>
      <c r="F13" s="178">
        <v>4</v>
      </c>
      <c r="G13" s="178">
        <v>1</v>
      </c>
      <c r="H13" s="178" t="str">
        <f t="shared" si="0"/>
        <v>0714</v>
      </c>
      <c r="I13" s="178" t="str">
        <f t="shared" si="1"/>
        <v>04</v>
      </c>
      <c r="J13" s="178" t="str">
        <f t="shared" si="2"/>
        <v>01</v>
      </c>
      <c r="K13" s="178" t="str">
        <f t="shared" si="3"/>
        <v>5 0714 04 01</v>
      </c>
      <c r="L13" s="177" t="s">
        <v>58</v>
      </c>
      <c r="M13" s="178">
        <v>5</v>
      </c>
      <c r="N13" s="178">
        <v>2</v>
      </c>
      <c r="O13" s="178">
        <v>7</v>
      </c>
      <c r="P13" s="191">
        <f>IF(D13=4,VLOOKUP(C13,Szakmaszorzók!$B$2:$D$25,2,0),VLOOKUP(C13,Szakmaszorzók!$B$2:$D$25,3,0))</f>
        <v>2.85</v>
      </c>
      <c r="Q13" s="192">
        <f>'Támogatás szorzat tényezői'!$C$2*'Támogatás szorzat tényezői'!$C$3*N13*P13</f>
        <v>1026000</v>
      </c>
      <c r="R13" s="192">
        <f>'Támogatás szorzat tényezői'!$C$2*'Támogatás szorzat tényezői'!$C$3*P13</f>
        <v>513000</v>
      </c>
    </row>
    <row r="14" spans="1:18" x14ac:dyDescent="0.25">
      <c r="A14" s="178">
        <v>49</v>
      </c>
      <c r="B14" s="177" t="s">
        <v>64</v>
      </c>
      <c r="C14" s="178" t="s">
        <v>1282</v>
      </c>
      <c r="D14" s="178">
        <v>4</v>
      </c>
      <c r="E14" s="178">
        <v>732</v>
      </c>
      <c r="F14" s="178">
        <v>6</v>
      </c>
      <c r="G14" s="178">
        <v>2</v>
      </c>
      <c r="H14" s="178" t="str">
        <f t="shared" si="0"/>
        <v>0732</v>
      </c>
      <c r="I14" s="178" t="str">
        <f t="shared" si="1"/>
        <v>06</v>
      </c>
      <c r="J14" s="178" t="str">
        <f t="shared" si="2"/>
        <v>02</v>
      </c>
      <c r="K14" s="178" t="str">
        <f t="shared" si="3"/>
        <v>4 0732 06 02</v>
      </c>
      <c r="L14" s="177" t="s">
        <v>64</v>
      </c>
      <c r="M14" s="178">
        <v>3</v>
      </c>
      <c r="N14" s="178">
        <v>2</v>
      </c>
      <c r="O14" s="178">
        <v>4</v>
      </c>
      <c r="P14" s="191">
        <f>IF(D14=4,VLOOKUP(C14,Szakmaszorzók!$B$2:$D$25,2,0),VLOOKUP(C14,Szakmaszorzók!$B$2:$D$25,3,0))</f>
        <v>2.42</v>
      </c>
      <c r="Q14" s="192">
        <f>'Támogatás szorzat tényezői'!$C$2*'Támogatás szorzat tényezői'!$C$3*N14*P14</f>
        <v>871200</v>
      </c>
      <c r="R14" s="192">
        <f>'Támogatás szorzat tényezői'!$C$2*'Támogatás szorzat tényezői'!$C$3*P14</f>
        <v>435600</v>
      </c>
    </row>
    <row r="15" spans="1:18" x14ac:dyDescent="0.25">
      <c r="A15" s="178">
        <v>3</v>
      </c>
      <c r="B15" s="177" t="s">
        <v>1292</v>
      </c>
      <c r="C15" s="178" t="s">
        <v>1293</v>
      </c>
      <c r="D15" s="178">
        <v>5</v>
      </c>
      <c r="E15" s="178">
        <v>724</v>
      </c>
      <c r="F15" s="178">
        <v>1</v>
      </c>
      <c r="G15" s="178">
        <v>1</v>
      </c>
      <c r="H15" s="178" t="str">
        <f t="shared" si="0"/>
        <v>0724</v>
      </c>
      <c r="I15" s="178" t="str">
        <f t="shared" si="1"/>
        <v>01</v>
      </c>
      <c r="J15" s="178" t="str">
        <f t="shared" si="2"/>
        <v>01</v>
      </c>
      <c r="K15" s="178" t="str">
        <f t="shared" si="3"/>
        <v>5 0724 01 01</v>
      </c>
      <c r="L15" s="177" t="s">
        <v>1292</v>
      </c>
      <c r="M15" s="178">
        <v>5</v>
      </c>
      <c r="N15" s="178">
        <v>2</v>
      </c>
      <c r="O15" s="178">
        <v>6</v>
      </c>
      <c r="P15" s="191">
        <f>IF(D15=4,VLOOKUP(C15,Szakmaszorzók!$B$2:$D$25,2,0),VLOOKUP(C15,Szakmaszorzók!$B$2:$D$25,3,0))</f>
        <v>2.42</v>
      </c>
      <c r="Q15" s="192">
        <f>'Támogatás szorzat tényezői'!$C$2*'Támogatás szorzat tényezői'!$C$3*N15*P15</f>
        <v>871200</v>
      </c>
      <c r="R15" s="192">
        <f>'Támogatás szorzat tényezői'!$C$2*'Támogatás szorzat tényezői'!$C$3*P15</f>
        <v>435600</v>
      </c>
    </row>
    <row r="16" spans="1:18" x14ac:dyDescent="0.25">
      <c r="A16" s="178">
        <v>4</v>
      </c>
      <c r="B16" s="177" t="s">
        <v>73</v>
      </c>
      <c r="C16" s="178" t="s">
        <v>1293</v>
      </c>
      <c r="D16" s="178">
        <v>4</v>
      </c>
      <c r="E16" s="178">
        <v>724</v>
      </c>
      <c r="F16" s="178">
        <v>1</v>
      </c>
      <c r="G16" s="178">
        <v>2</v>
      </c>
      <c r="H16" s="178" t="str">
        <f t="shared" si="0"/>
        <v>0724</v>
      </c>
      <c r="I16" s="178" t="str">
        <f t="shared" si="1"/>
        <v>01</v>
      </c>
      <c r="J16" s="178" t="str">
        <f t="shared" si="2"/>
        <v>02</v>
      </c>
      <c r="K16" s="178" t="str">
        <f t="shared" si="3"/>
        <v>4 0724 01 02</v>
      </c>
      <c r="L16" s="177" t="s">
        <v>73</v>
      </c>
      <c r="M16" s="178">
        <v>3</v>
      </c>
      <c r="N16" s="178">
        <v>2</v>
      </c>
      <c r="O16" s="178">
        <v>5</v>
      </c>
      <c r="P16" s="191">
        <f>IF(D16=4,VLOOKUP(C16,Szakmaszorzók!$B$2:$D$25,2,0),VLOOKUP(C16,Szakmaszorzók!$B$2:$D$25,3,0))</f>
        <v>2.42</v>
      </c>
      <c r="Q16" s="192">
        <f>'Támogatás szorzat tényezői'!$C$2*'Támogatás szorzat tényezői'!$C$3*N16*P16</f>
        <v>871200</v>
      </c>
      <c r="R16" s="192">
        <f>'Támogatás szorzat tényezői'!$C$2*'Támogatás szorzat tényezői'!$C$3*P16</f>
        <v>435600</v>
      </c>
    </row>
    <row r="17" spans="1:18" x14ac:dyDescent="0.25">
      <c r="A17" s="178">
        <v>30</v>
      </c>
      <c r="B17" s="177" t="s">
        <v>1295</v>
      </c>
      <c r="C17" s="178" t="s">
        <v>1296</v>
      </c>
      <c r="D17" s="178">
        <v>5</v>
      </c>
      <c r="E17" s="178">
        <v>721</v>
      </c>
      <c r="F17" s="178">
        <v>5</v>
      </c>
      <c r="G17" s="178">
        <v>1</v>
      </c>
      <c r="H17" s="178" t="str">
        <f t="shared" si="0"/>
        <v>0721</v>
      </c>
      <c r="I17" s="178" t="str">
        <f t="shared" si="1"/>
        <v>05</v>
      </c>
      <c r="J17" s="178" t="str">
        <f t="shared" si="2"/>
        <v>01</v>
      </c>
      <c r="K17" s="178" t="str">
        <f t="shared" si="3"/>
        <v>5 0721 05 01</v>
      </c>
      <c r="L17" s="177" t="s">
        <v>1295</v>
      </c>
      <c r="M17" s="178">
        <v>5</v>
      </c>
      <c r="N17" s="178">
        <v>2</v>
      </c>
      <c r="O17" s="178">
        <v>6</v>
      </c>
      <c r="P17" s="191">
        <f>IF(D17=4,VLOOKUP(C17,Szakmaszorzók!$B$2:$D$25,2,0),VLOOKUP(C17,Szakmaszorzók!$B$2:$D$25,3,0))</f>
        <v>2.2000000000000002</v>
      </c>
      <c r="Q17" s="192">
        <f>'Támogatás szorzat tényezői'!$C$2*'Támogatás szorzat tényezői'!$C$3*N17*P17</f>
        <v>792000.00000000012</v>
      </c>
      <c r="R17" s="192">
        <f>'Támogatás szorzat tényezői'!$C$2*'Támogatás szorzat tényezői'!$C$3*P17</f>
        <v>396000.00000000006</v>
      </c>
    </row>
    <row r="18" spans="1:18" x14ac:dyDescent="0.25">
      <c r="A18" s="178">
        <v>110</v>
      </c>
      <c r="B18" s="177" t="s">
        <v>1297</v>
      </c>
      <c r="C18" s="178" t="s">
        <v>1298</v>
      </c>
      <c r="D18" s="178">
        <v>4</v>
      </c>
      <c r="E18" s="178">
        <v>723</v>
      </c>
      <c r="F18" s="178">
        <v>16</v>
      </c>
      <c r="G18" s="178">
        <v>1</v>
      </c>
      <c r="H18" s="178" t="str">
        <f t="shared" si="0"/>
        <v>0723</v>
      </c>
      <c r="I18" s="178">
        <f t="shared" si="1"/>
        <v>16</v>
      </c>
      <c r="J18" s="178" t="str">
        <f t="shared" si="2"/>
        <v>01</v>
      </c>
      <c r="K18" s="178" t="str">
        <f t="shared" si="3"/>
        <v>4 0723 16 01</v>
      </c>
      <c r="L18" s="177" t="s">
        <v>1297</v>
      </c>
      <c r="M18" s="178">
        <v>3</v>
      </c>
      <c r="N18" s="178">
        <v>2</v>
      </c>
      <c r="O18" s="178">
        <v>4</v>
      </c>
      <c r="P18" s="191">
        <f>IF(D18=4,VLOOKUP(C18,Szakmaszorzók!$B$2:$D$25,2,0),VLOOKUP(C18,Szakmaszorzók!$B$2:$D$25,3,0))</f>
        <v>2.42</v>
      </c>
      <c r="Q18" s="192">
        <f>'Támogatás szorzat tényezői'!$C$2*'Támogatás szorzat tényezői'!$C$3*N18*P18</f>
        <v>871200</v>
      </c>
      <c r="R18" s="192">
        <f>'Támogatás szorzat tényezői'!$C$2*'Támogatás szorzat tényezői'!$C$3*P18</f>
        <v>435600</v>
      </c>
    </row>
    <row r="19" spans="1:18" x14ac:dyDescent="0.25">
      <c r="A19" s="178">
        <v>50</v>
      </c>
      <c r="B19" s="177" t="s">
        <v>85</v>
      </c>
      <c r="C19" s="178" t="s">
        <v>1282</v>
      </c>
      <c r="D19" s="178">
        <v>4</v>
      </c>
      <c r="E19" s="178">
        <v>732</v>
      </c>
      <c r="F19" s="178">
        <v>6</v>
      </c>
      <c r="G19" s="178">
        <v>3</v>
      </c>
      <c r="H19" s="178" t="str">
        <f t="shared" si="0"/>
        <v>0732</v>
      </c>
      <c r="I19" s="178" t="str">
        <f t="shared" si="1"/>
        <v>06</v>
      </c>
      <c r="J19" s="178" t="str">
        <f t="shared" si="2"/>
        <v>03</v>
      </c>
      <c r="K19" s="178" t="str">
        <f t="shared" si="3"/>
        <v>4 0732 06 03</v>
      </c>
      <c r="L19" s="177" t="s">
        <v>85</v>
      </c>
      <c r="M19" s="178">
        <v>3</v>
      </c>
      <c r="N19" s="178">
        <v>2</v>
      </c>
      <c r="O19" s="178">
        <v>4</v>
      </c>
      <c r="P19" s="191">
        <f>IF(D19=4,VLOOKUP(C19,Szakmaszorzók!$B$2:$D$25,2,0),VLOOKUP(C19,Szakmaszorzók!$B$2:$D$25,3,0))</f>
        <v>2.42</v>
      </c>
      <c r="Q19" s="192">
        <f>'Támogatás szorzat tényezői'!$C$2*'Támogatás szorzat tényezői'!$C$3*N19*P19</f>
        <v>871200</v>
      </c>
      <c r="R19" s="192">
        <f>'Támogatás szorzat tényezői'!$C$2*'Támogatás szorzat tényezői'!$C$3*P19</f>
        <v>435600</v>
      </c>
    </row>
    <row r="20" spans="1:18" x14ac:dyDescent="0.25">
      <c r="A20" s="178">
        <v>73</v>
      </c>
      <c r="B20" s="177" t="s">
        <v>1300</v>
      </c>
      <c r="C20" s="178" t="s">
        <v>1301</v>
      </c>
      <c r="D20" s="178">
        <v>4</v>
      </c>
      <c r="E20" s="178">
        <v>715</v>
      </c>
      <c r="F20" s="178">
        <v>10</v>
      </c>
      <c r="G20" s="178">
        <v>1</v>
      </c>
      <c r="H20" s="178" t="str">
        <f t="shared" si="0"/>
        <v>0715</v>
      </c>
      <c r="I20" s="178">
        <f t="shared" si="1"/>
        <v>10</v>
      </c>
      <c r="J20" s="178" t="str">
        <f t="shared" si="2"/>
        <v>01</v>
      </c>
      <c r="K20" s="178" t="str">
        <f t="shared" si="3"/>
        <v>4 0715 10 01</v>
      </c>
      <c r="L20" s="177" t="s">
        <v>1300</v>
      </c>
      <c r="M20" s="178">
        <v>4</v>
      </c>
      <c r="N20" s="178">
        <v>3</v>
      </c>
      <c r="O20" s="178">
        <v>6</v>
      </c>
      <c r="P20" s="191">
        <f>IF(D20=4,VLOOKUP(C20,Szakmaszorzók!$B$2:$D$25,2,0),VLOOKUP(C20,Szakmaszorzók!$B$2:$D$25,3,0))</f>
        <v>2.42</v>
      </c>
      <c r="Q20" s="192">
        <f>'Támogatás szorzat tényezői'!$C$2*'Támogatás szorzat tényezői'!$C$3*N20*P20</f>
        <v>1306800</v>
      </c>
      <c r="R20" s="192">
        <f>'Támogatás szorzat tényezői'!$C$2*'Támogatás szorzat tényezői'!$C$3*P20</f>
        <v>435600</v>
      </c>
    </row>
    <row r="21" spans="1:18" x14ac:dyDescent="0.25">
      <c r="A21" s="178">
        <v>160</v>
      </c>
      <c r="B21" s="177" t="s">
        <v>79</v>
      </c>
      <c r="C21" s="178" t="s">
        <v>1303</v>
      </c>
      <c r="D21" s="178">
        <v>4</v>
      </c>
      <c r="E21" s="178">
        <v>1013</v>
      </c>
      <c r="F21" s="178">
        <v>23</v>
      </c>
      <c r="G21" s="178">
        <v>1</v>
      </c>
      <c r="H21" s="178">
        <f t="shared" si="0"/>
        <v>1013</v>
      </c>
      <c r="I21" s="178">
        <f t="shared" si="1"/>
        <v>23</v>
      </c>
      <c r="J21" s="178" t="str">
        <f t="shared" si="2"/>
        <v>01</v>
      </c>
      <c r="K21" s="178" t="str">
        <f t="shared" si="3"/>
        <v>4 1013 23 01</v>
      </c>
      <c r="L21" s="177" t="s">
        <v>79</v>
      </c>
      <c r="M21" s="178">
        <v>3</v>
      </c>
      <c r="N21" s="178">
        <v>2</v>
      </c>
      <c r="O21" s="178">
        <v>5</v>
      </c>
      <c r="P21" s="191">
        <f>IF(D21=4,VLOOKUP(C21,Szakmaszorzók!$B$2:$D$25,2,0),VLOOKUP(C21,Szakmaszorzók!$B$2:$D$25,3,0))</f>
        <v>2.2000000000000002</v>
      </c>
      <c r="Q21" s="192">
        <f>'Támogatás szorzat tényezői'!$C$2*'Támogatás szorzat tényezői'!$C$3*N21*P21</f>
        <v>792000.00000000012</v>
      </c>
      <c r="R21" s="192">
        <f>'Támogatás szorzat tényezői'!$C$2*'Támogatás szorzat tényezői'!$C$3*P21</f>
        <v>396000.00000000006</v>
      </c>
    </row>
    <row r="22" spans="1:18" x14ac:dyDescent="0.25">
      <c r="A22" s="178">
        <v>161</v>
      </c>
      <c r="B22" s="177" t="s">
        <v>1304</v>
      </c>
      <c r="C22" s="178" t="s">
        <v>1303</v>
      </c>
      <c r="D22" s="178">
        <v>5</v>
      </c>
      <c r="E22" s="178">
        <v>1013</v>
      </c>
      <c r="F22" s="178">
        <v>23</v>
      </c>
      <c r="G22" s="178">
        <v>2</v>
      </c>
      <c r="H22" s="178">
        <f t="shared" si="0"/>
        <v>1013</v>
      </c>
      <c r="I22" s="178">
        <f t="shared" si="1"/>
        <v>23</v>
      </c>
      <c r="J22" s="178" t="str">
        <f t="shared" si="2"/>
        <v>02</v>
      </c>
      <c r="K22" s="178" t="str">
        <f t="shared" si="3"/>
        <v>5 1013 23 02</v>
      </c>
      <c r="L22" s="177" t="s">
        <v>1304</v>
      </c>
      <c r="M22" s="178">
        <v>5</v>
      </c>
      <c r="N22" s="178">
        <v>2</v>
      </c>
      <c r="O22" s="178">
        <v>6</v>
      </c>
      <c r="P22" s="191">
        <f>IF(D22=4,VLOOKUP(C22,Szakmaszorzók!$B$2:$D$25,2,0),VLOOKUP(C22,Szakmaszorzók!$B$2:$D$25,3,0))</f>
        <v>2.2000000000000002</v>
      </c>
      <c r="Q22" s="192">
        <f>'Támogatás szorzat tényezői'!$C$2*'Támogatás szorzat tényezői'!$C$3*N22*P22</f>
        <v>792000.00000000012</v>
      </c>
      <c r="R22" s="192">
        <f>'Támogatás szorzat tényezői'!$C$2*'Támogatás szorzat tényezői'!$C$3*P22</f>
        <v>396000.00000000006</v>
      </c>
    </row>
    <row r="23" spans="1:18" x14ac:dyDescent="0.25">
      <c r="A23" s="178">
        <v>116</v>
      </c>
      <c r="B23" s="177" t="s">
        <v>81</v>
      </c>
      <c r="C23" s="178" t="s">
        <v>1298</v>
      </c>
      <c r="D23" s="178">
        <v>5</v>
      </c>
      <c r="E23" s="178">
        <v>212</v>
      </c>
      <c r="F23" s="178">
        <v>16</v>
      </c>
      <c r="G23" s="178">
        <v>7</v>
      </c>
      <c r="H23" s="178" t="str">
        <f t="shared" si="0"/>
        <v>0212</v>
      </c>
      <c r="I23" s="178">
        <f t="shared" si="1"/>
        <v>16</v>
      </c>
      <c r="J23" s="178" t="str">
        <f t="shared" si="2"/>
        <v>07</v>
      </c>
      <c r="K23" s="178" t="str">
        <f t="shared" si="3"/>
        <v>5 0212 16 07</v>
      </c>
      <c r="L23" s="177" t="s">
        <v>81</v>
      </c>
      <c r="M23" s="178">
        <v>5</v>
      </c>
      <c r="N23" s="178">
        <v>2</v>
      </c>
      <c r="O23" s="178">
        <v>5</v>
      </c>
      <c r="P23" s="191">
        <f>IF(D23=4,VLOOKUP(C23,Szakmaszorzók!$B$2:$D$25,2,0),VLOOKUP(C23,Szakmaszorzók!$B$2:$D$25,3,0))</f>
        <v>2.42</v>
      </c>
      <c r="Q23" s="192">
        <f>'Támogatás szorzat tényezői'!$C$2*'Támogatás szorzat tényezői'!$C$3*N23*P23</f>
        <v>871200</v>
      </c>
      <c r="R23" s="192">
        <f>'Támogatás szorzat tényezői'!$C$2*'Támogatás szorzat tényezői'!$C$3*P23</f>
        <v>435600</v>
      </c>
    </row>
    <row r="24" spans="1:18" x14ac:dyDescent="0.25">
      <c r="A24" s="178">
        <v>111</v>
      </c>
      <c r="B24" s="177" t="s">
        <v>1306</v>
      </c>
      <c r="C24" s="178" t="s">
        <v>1298</v>
      </c>
      <c r="D24" s="178">
        <v>5</v>
      </c>
      <c r="E24" s="178">
        <v>212</v>
      </c>
      <c r="F24" s="178">
        <v>16</v>
      </c>
      <c r="G24" s="178">
        <v>2</v>
      </c>
      <c r="H24" s="178" t="str">
        <f t="shared" si="0"/>
        <v>0212</v>
      </c>
      <c r="I24" s="178">
        <f t="shared" si="1"/>
        <v>16</v>
      </c>
      <c r="J24" s="178" t="str">
        <f t="shared" si="2"/>
        <v>02</v>
      </c>
      <c r="K24" s="178" t="str">
        <f t="shared" si="3"/>
        <v>5 0212 16 02</v>
      </c>
      <c r="L24" s="177" t="s">
        <v>1306</v>
      </c>
      <c r="M24" s="178">
        <v>5</v>
      </c>
      <c r="N24" s="178">
        <v>2</v>
      </c>
      <c r="O24" s="178">
        <v>5</v>
      </c>
      <c r="P24" s="191">
        <f>IF(D24=4,VLOOKUP(C24,Szakmaszorzók!$B$2:$D$25,2,0),VLOOKUP(C24,Szakmaszorzók!$B$2:$D$25,3,0))</f>
        <v>2.42</v>
      </c>
      <c r="Q24" s="192">
        <f>'Támogatás szorzat tényezői'!$C$2*'Támogatás szorzat tényezői'!$C$3*N24*P24</f>
        <v>871200</v>
      </c>
      <c r="R24" s="192">
        <f>'Támogatás szorzat tényezői'!$C$2*'Támogatás szorzat tényezői'!$C$3*P24</f>
        <v>435600</v>
      </c>
    </row>
    <row r="25" spans="1:18" x14ac:dyDescent="0.25">
      <c r="A25" s="178">
        <v>112</v>
      </c>
      <c r="B25" s="177" t="s">
        <v>1307</v>
      </c>
      <c r="C25" s="178" t="s">
        <v>1298</v>
      </c>
      <c r="D25" s="178">
        <v>4</v>
      </c>
      <c r="E25" s="178">
        <v>723</v>
      </c>
      <c r="F25" s="178">
        <v>16</v>
      </c>
      <c r="G25" s="178">
        <v>3</v>
      </c>
      <c r="H25" s="178" t="str">
        <f t="shared" si="0"/>
        <v>0723</v>
      </c>
      <c r="I25" s="178">
        <f t="shared" si="1"/>
        <v>16</v>
      </c>
      <c r="J25" s="178" t="str">
        <f t="shared" si="2"/>
        <v>03</v>
      </c>
      <c r="K25" s="178" t="str">
        <f t="shared" si="3"/>
        <v>4 0723 16 03</v>
      </c>
      <c r="L25" s="177" t="s">
        <v>1307</v>
      </c>
      <c r="M25" s="178">
        <v>3</v>
      </c>
      <c r="N25" s="178">
        <v>2</v>
      </c>
      <c r="O25" s="178">
        <v>4</v>
      </c>
      <c r="P25" s="191">
        <f>IF(D25=4,VLOOKUP(C25,Szakmaszorzók!$B$2:$D$25,2,0),VLOOKUP(C25,Szakmaszorzók!$B$2:$D$25,3,0))</f>
        <v>2.42</v>
      </c>
      <c r="Q25" s="192">
        <f>'Támogatás szorzat tényezői'!$C$2*'Támogatás szorzat tényezői'!$C$3*N25*P25</f>
        <v>871200</v>
      </c>
      <c r="R25" s="192">
        <f>'Támogatás szorzat tényezői'!$C$2*'Támogatás szorzat tényezői'!$C$3*P25</f>
        <v>435600</v>
      </c>
    </row>
    <row r="26" spans="1:18" x14ac:dyDescent="0.25">
      <c r="A26" s="178">
        <v>31</v>
      </c>
      <c r="B26" s="177" t="s">
        <v>1308</v>
      </c>
      <c r="C26" s="178" t="s">
        <v>1296</v>
      </c>
      <c r="D26" s="178">
        <v>4</v>
      </c>
      <c r="E26" s="178">
        <v>721</v>
      </c>
      <c r="F26" s="178">
        <v>5</v>
      </c>
      <c r="G26" s="178">
        <v>2</v>
      </c>
      <c r="H26" s="178" t="str">
        <f t="shared" si="0"/>
        <v>0721</v>
      </c>
      <c r="I26" s="178" t="str">
        <f t="shared" si="1"/>
        <v>05</v>
      </c>
      <c r="J26" s="178" t="str">
        <f t="shared" si="2"/>
        <v>02</v>
      </c>
      <c r="K26" s="178" t="str">
        <f t="shared" si="3"/>
        <v>4 0721 05 02</v>
      </c>
      <c r="L26" s="177" t="s">
        <v>1308</v>
      </c>
      <c r="M26" s="178">
        <v>3</v>
      </c>
      <c r="N26" s="178">
        <v>2</v>
      </c>
      <c r="O26" s="178">
        <v>4</v>
      </c>
      <c r="P26" s="191">
        <f>IF(D26=4,VLOOKUP(C26,Szakmaszorzók!$B$2:$D$25,2,0),VLOOKUP(C26,Szakmaszorzók!$B$2:$D$25,3,0))</f>
        <v>2.2000000000000002</v>
      </c>
      <c r="Q26" s="192">
        <f>'Támogatás szorzat tényezői'!$C$2*'Támogatás szorzat tényezői'!$C$3*N26*P26</f>
        <v>792000.00000000012</v>
      </c>
      <c r="R26" s="192">
        <f>'Támogatás szorzat tényezői'!$C$2*'Támogatás szorzat tényezői'!$C$3*P26</f>
        <v>396000.00000000006</v>
      </c>
    </row>
    <row r="27" spans="1:18" x14ac:dyDescent="0.25">
      <c r="A27" s="178">
        <v>14</v>
      </c>
      <c r="B27" s="177" t="s">
        <v>1309</v>
      </c>
      <c r="C27" s="178" t="s">
        <v>1285</v>
      </c>
      <c r="D27" s="178">
        <v>5</v>
      </c>
      <c r="E27" s="178">
        <v>913</v>
      </c>
      <c r="F27" s="178">
        <v>3</v>
      </c>
      <c r="G27" s="178">
        <v>2</v>
      </c>
      <c r="H27" s="178" t="str">
        <f t="shared" si="0"/>
        <v>0913</v>
      </c>
      <c r="I27" s="178" t="str">
        <f t="shared" si="1"/>
        <v>03</v>
      </c>
      <c r="J27" s="178" t="str">
        <f t="shared" si="2"/>
        <v>02</v>
      </c>
      <c r="K27" s="178" t="str">
        <f t="shared" si="3"/>
        <v>5 0913 03 02</v>
      </c>
      <c r="L27" s="177" t="s">
        <v>1309</v>
      </c>
      <c r="M27" s="178">
        <v>5</v>
      </c>
      <c r="N27" s="178">
        <v>2</v>
      </c>
      <c r="O27" s="178">
        <v>5</v>
      </c>
      <c r="P27" s="191">
        <f>IF(D27=4,VLOOKUP(C27,Szakmaszorzók!$B$2:$D$25,2,0),VLOOKUP(C27,Szakmaszorzók!$B$2:$D$25,3,0))</f>
        <v>2.2000000000000002</v>
      </c>
      <c r="Q27" s="192">
        <f>'Támogatás szorzat tényezői'!$C$2*'Támogatás szorzat tényezői'!$C$3*N27*P27</f>
        <v>792000.00000000012</v>
      </c>
      <c r="R27" s="192">
        <f>'Támogatás szorzat tényezői'!$C$2*'Támogatás szorzat tényezői'!$C$3*P27</f>
        <v>396000.00000000006</v>
      </c>
    </row>
    <row r="28" spans="1:18" x14ac:dyDescent="0.25">
      <c r="A28" s="178">
        <v>15</v>
      </c>
      <c r="B28" s="177" t="s">
        <v>1310</v>
      </c>
      <c r="C28" s="178" t="s">
        <v>1285</v>
      </c>
      <c r="D28" s="178">
        <v>5</v>
      </c>
      <c r="E28" s="178">
        <v>914</v>
      </c>
      <c r="F28" s="178">
        <v>3</v>
      </c>
      <c r="G28" s="178">
        <v>3</v>
      </c>
      <c r="H28" s="178" t="str">
        <f t="shared" si="0"/>
        <v>0914</v>
      </c>
      <c r="I28" s="178" t="str">
        <f t="shared" si="1"/>
        <v>03</v>
      </c>
      <c r="J28" s="178" t="str">
        <f t="shared" si="2"/>
        <v>03</v>
      </c>
      <c r="K28" s="178" t="str">
        <f t="shared" si="3"/>
        <v>5 0914 03 03</v>
      </c>
      <c r="L28" s="177" t="s">
        <v>1310</v>
      </c>
      <c r="M28" s="178">
        <v>5</v>
      </c>
      <c r="N28" s="178">
        <v>2</v>
      </c>
      <c r="O28" s="178">
        <v>5</v>
      </c>
      <c r="P28" s="191">
        <f>IF(D28=4,VLOOKUP(C28,Szakmaszorzók!$B$2:$D$25,2,0),VLOOKUP(C28,Szakmaszorzók!$B$2:$D$25,3,0))</f>
        <v>2.2000000000000002</v>
      </c>
      <c r="Q28" s="192">
        <f>'Támogatás szorzat tényezői'!$C$2*'Támogatás szorzat tényezői'!$C$3*N28*P28</f>
        <v>792000.00000000012</v>
      </c>
      <c r="R28" s="192">
        <f>'Támogatás szorzat tényezői'!$C$2*'Támogatás szorzat tényezői'!$C$3*P28</f>
        <v>396000.00000000006</v>
      </c>
    </row>
    <row r="29" spans="1:18" x14ac:dyDescent="0.25">
      <c r="A29" s="178">
        <v>24</v>
      </c>
      <c r="B29" s="177" t="s">
        <v>96</v>
      </c>
      <c r="C29" s="178" t="s">
        <v>1290</v>
      </c>
      <c r="D29" s="178">
        <v>4</v>
      </c>
      <c r="E29" s="178">
        <v>713</v>
      </c>
      <c r="F29" s="178">
        <v>4</v>
      </c>
      <c r="G29" s="178">
        <v>2</v>
      </c>
      <c r="H29" s="178" t="str">
        <f t="shared" si="0"/>
        <v>0713</v>
      </c>
      <c r="I29" s="178" t="str">
        <f t="shared" si="1"/>
        <v>04</v>
      </c>
      <c r="J29" s="178" t="str">
        <f t="shared" si="2"/>
        <v>02</v>
      </c>
      <c r="K29" s="178" t="str">
        <f t="shared" si="3"/>
        <v>4 0713 04 02</v>
      </c>
      <c r="L29" s="177" t="s">
        <v>96</v>
      </c>
      <c r="M29" s="178">
        <v>3</v>
      </c>
      <c r="N29" s="178">
        <v>2</v>
      </c>
      <c r="O29" s="178">
        <v>5</v>
      </c>
      <c r="P29" s="191">
        <f>IF(D29=4,VLOOKUP(C29,Szakmaszorzók!$B$2:$D$25,2,0),VLOOKUP(C29,Szakmaszorzók!$B$2:$D$25,3,0))</f>
        <v>2.42</v>
      </c>
      <c r="Q29" s="192">
        <f>'Támogatás szorzat tényezői'!$C$2*'Támogatás szorzat tényezői'!$C$3*N29*P29</f>
        <v>871200</v>
      </c>
      <c r="R29" s="192">
        <f>'Támogatás szorzat tényezői'!$C$2*'Támogatás szorzat tényezői'!$C$3*P29</f>
        <v>435600</v>
      </c>
    </row>
    <row r="30" spans="1:18" x14ac:dyDescent="0.25">
      <c r="A30" s="178">
        <v>25</v>
      </c>
      <c r="B30" s="177" t="s">
        <v>97</v>
      </c>
      <c r="C30" s="178" t="s">
        <v>1290</v>
      </c>
      <c r="D30" s="178">
        <v>5</v>
      </c>
      <c r="E30" s="178">
        <v>714</v>
      </c>
      <c r="F30" s="178">
        <v>4</v>
      </c>
      <c r="G30" s="178">
        <v>3</v>
      </c>
      <c r="H30" s="178" t="str">
        <f t="shared" si="0"/>
        <v>0714</v>
      </c>
      <c r="I30" s="178" t="str">
        <f t="shared" si="1"/>
        <v>04</v>
      </c>
      <c r="J30" s="178" t="str">
        <f t="shared" si="2"/>
        <v>03</v>
      </c>
      <c r="K30" s="178" t="str">
        <f t="shared" si="3"/>
        <v>5 0714 04 03</v>
      </c>
      <c r="L30" s="177" t="s">
        <v>97</v>
      </c>
      <c r="M30" s="178">
        <v>5</v>
      </c>
      <c r="N30" s="178">
        <v>2</v>
      </c>
      <c r="O30" s="178">
        <v>7</v>
      </c>
      <c r="P30" s="191">
        <f>IF(D30=4,VLOOKUP(C30,Szakmaszorzók!$B$2:$D$25,2,0),VLOOKUP(C30,Szakmaszorzók!$B$2:$D$25,3,0))</f>
        <v>2.85</v>
      </c>
      <c r="Q30" s="192">
        <f>'Támogatás szorzat tényezői'!$C$2*'Támogatás szorzat tényezői'!$C$3*N30*P30</f>
        <v>1026000</v>
      </c>
      <c r="R30" s="192">
        <f>'Támogatás szorzat tényezői'!$C$2*'Támogatás szorzat tényezői'!$C$3*P30</f>
        <v>513000</v>
      </c>
    </row>
    <row r="31" spans="1:18" x14ac:dyDescent="0.25">
      <c r="A31" s="178">
        <v>32</v>
      </c>
      <c r="B31" s="177" t="s">
        <v>1312</v>
      </c>
      <c r="C31" s="178" t="s">
        <v>1296</v>
      </c>
      <c r="D31" s="178">
        <v>5</v>
      </c>
      <c r="E31" s="178">
        <v>721</v>
      </c>
      <c r="F31" s="178">
        <v>5</v>
      </c>
      <c r="G31" s="178">
        <v>3</v>
      </c>
      <c r="H31" s="178" t="str">
        <f t="shared" si="0"/>
        <v>0721</v>
      </c>
      <c r="I31" s="178" t="str">
        <f t="shared" si="1"/>
        <v>05</v>
      </c>
      <c r="J31" s="178" t="str">
        <f t="shared" si="2"/>
        <v>03</v>
      </c>
      <c r="K31" s="178" t="str">
        <f t="shared" si="3"/>
        <v>5 0721 05 03</v>
      </c>
      <c r="L31" s="177" t="s">
        <v>1312</v>
      </c>
      <c r="M31" s="178">
        <v>5</v>
      </c>
      <c r="N31" s="178">
        <v>2</v>
      </c>
      <c r="O31" s="178">
        <v>6</v>
      </c>
      <c r="P31" s="191">
        <f>IF(D31=4,VLOOKUP(C31,Szakmaszorzók!$B$2:$D$25,2,0),VLOOKUP(C31,Szakmaszorzók!$B$2:$D$25,3,0))</f>
        <v>2.2000000000000002</v>
      </c>
      <c r="Q31" s="192">
        <f>'Támogatás szorzat tényezői'!$C$2*'Támogatás szorzat tényezői'!$C$3*N31*P31</f>
        <v>792000.00000000012</v>
      </c>
      <c r="R31" s="192">
        <f>'Támogatás szorzat tényezői'!$C$2*'Támogatás szorzat tényezői'!$C$3*P31</f>
        <v>396000.00000000006</v>
      </c>
    </row>
    <row r="32" spans="1:18" x14ac:dyDescent="0.25">
      <c r="A32" s="178">
        <v>33</v>
      </c>
      <c r="B32" s="177" t="s">
        <v>99</v>
      </c>
      <c r="C32" s="178" t="s">
        <v>1296</v>
      </c>
      <c r="D32" s="178">
        <v>5</v>
      </c>
      <c r="E32" s="178">
        <v>721</v>
      </c>
      <c r="F32" s="178">
        <v>5</v>
      </c>
      <c r="G32" s="178">
        <v>4</v>
      </c>
      <c r="H32" s="178" t="str">
        <f t="shared" si="0"/>
        <v>0721</v>
      </c>
      <c r="I32" s="178" t="str">
        <f t="shared" si="1"/>
        <v>05</v>
      </c>
      <c r="J32" s="178" t="str">
        <f t="shared" si="2"/>
        <v>04</v>
      </c>
      <c r="K32" s="178" t="str">
        <f t="shared" si="3"/>
        <v>5 0721 05 04</v>
      </c>
      <c r="L32" s="177" t="s">
        <v>99</v>
      </c>
      <c r="M32" s="178">
        <v>5</v>
      </c>
      <c r="N32" s="178">
        <v>2</v>
      </c>
      <c r="O32" s="178">
        <v>6</v>
      </c>
      <c r="P32" s="191">
        <f>IF(D32=4,VLOOKUP(C32,Szakmaszorzók!$B$2:$D$25,2,0),VLOOKUP(C32,Szakmaszorzók!$B$2:$D$25,3,0))</f>
        <v>2.2000000000000002</v>
      </c>
      <c r="Q32" s="192">
        <f>'Támogatás szorzat tényezői'!$C$2*'Támogatás szorzat tényezői'!$C$3*N32*P32</f>
        <v>792000.00000000012</v>
      </c>
      <c r="R32" s="192">
        <f>'Támogatás szorzat tényezői'!$C$2*'Támogatás szorzat tényezői'!$C$3*P32</f>
        <v>396000.00000000006</v>
      </c>
    </row>
    <row r="33" spans="1:18" x14ac:dyDescent="0.25">
      <c r="A33" s="178">
        <v>34</v>
      </c>
      <c r="B33" s="177" t="s">
        <v>1313</v>
      </c>
      <c r="C33" s="178" t="s">
        <v>1296</v>
      </c>
      <c r="D33" s="178">
        <v>4</v>
      </c>
      <c r="E33" s="178">
        <v>721</v>
      </c>
      <c r="F33" s="178">
        <v>5</v>
      </c>
      <c r="G33" s="178">
        <v>5</v>
      </c>
      <c r="H33" s="178" t="str">
        <f t="shared" si="0"/>
        <v>0721</v>
      </c>
      <c r="I33" s="178" t="str">
        <f t="shared" si="1"/>
        <v>05</v>
      </c>
      <c r="J33" s="178" t="str">
        <f t="shared" si="2"/>
        <v>05</v>
      </c>
      <c r="K33" s="178" t="str">
        <f t="shared" si="3"/>
        <v>4 0721 05 05</v>
      </c>
      <c r="L33" s="177" t="s">
        <v>1313</v>
      </c>
      <c r="M33" s="178">
        <v>3</v>
      </c>
      <c r="N33" s="178">
        <v>2</v>
      </c>
      <c r="O33" s="178">
        <v>4</v>
      </c>
      <c r="P33" s="191">
        <f>IF(D33=4,VLOOKUP(C33,Szakmaszorzók!$B$2:$D$25,2,0),VLOOKUP(C33,Szakmaszorzók!$B$2:$D$25,3,0))</f>
        <v>2.2000000000000002</v>
      </c>
      <c r="Q33" s="192">
        <f>'Támogatás szorzat tényezői'!$C$2*'Támogatás szorzat tényezői'!$C$3*N33*P33</f>
        <v>792000.00000000012</v>
      </c>
      <c r="R33" s="192">
        <f>'Támogatás szorzat tényezői'!$C$2*'Támogatás szorzat tényezői'!$C$3*P33</f>
        <v>396000.00000000006</v>
      </c>
    </row>
    <row r="34" spans="1:18" x14ac:dyDescent="0.25">
      <c r="A34" s="178">
        <v>74</v>
      </c>
      <c r="B34" s="177" t="s">
        <v>1314</v>
      </c>
      <c r="C34" s="178" t="s">
        <v>1301</v>
      </c>
      <c r="D34" s="178">
        <v>4</v>
      </c>
      <c r="E34" s="178">
        <v>715</v>
      </c>
      <c r="F34" s="178">
        <v>10</v>
      </c>
      <c r="G34" s="178">
        <v>2</v>
      </c>
      <c r="H34" s="178" t="str">
        <f t="shared" si="0"/>
        <v>0715</v>
      </c>
      <c r="I34" s="178">
        <f t="shared" si="1"/>
        <v>10</v>
      </c>
      <c r="J34" s="178" t="str">
        <f t="shared" si="2"/>
        <v>02</v>
      </c>
      <c r="K34" s="178" t="str">
        <f t="shared" si="3"/>
        <v>4 0715 10 02</v>
      </c>
      <c r="L34" s="177" t="s">
        <v>1314</v>
      </c>
      <c r="M34" s="178">
        <v>3</v>
      </c>
      <c r="N34" s="178">
        <v>2</v>
      </c>
      <c r="O34" s="178">
        <v>4</v>
      </c>
      <c r="P34" s="191">
        <f>IF(D34=4,VLOOKUP(C34,Szakmaszorzók!$B$2:$D$25,2,0),VLOOKUP(C34,Szakmaszorzók!$B$2:$D$25,3,0))</f>
        <v>2.42</v>
      </c>
      <c r="Q34" s="192">
        <f>'Támogatás szorzat tényezői'!$C$2*'Támogatás szorzat tényezői'!$C$3*N34*P34</f>
        <v>871200</v>
      </c>
      <c r="R34" s="192">
        <f>'Támogatás szorzat tényezői'!$C$2*'Támogatás szorzat tényezői'!$C$3*P34</f>
        <v>435600</v>
      </c>
    </row>
    <row r="35" spans="1:18" x14ac:dyDescent="0.25">
      <c r="A35" s="178">
        <v>75</v>
      </c>
      <c r="B35" s="177" t="s">
        <v>101</v>
      </c>
      <c r="C35" s="178" t="s">
        <v>1301</v>
      </c>
      <c r="D35" s="178">
        <v>4</v>
      </c>
      <c r="E35" s="178">
        <v>732</v>
      </c>
      <c r="F35" s="178">
        <v>10</v>
      </c>
      <c r="G35" s="178">
        <v>3</v>
      </c>
      <c r="H35" s="178" t="str">
        <f t="shared" si="0"/>
        <v>0732</v>
      </c>
      <c r="I35" s="178">
        <f t="shared" si="1"/>
        <v>10</v>
      </c>
      <c r="J35" s="178" t="str">
        <f t="shared" si="2"/>
        <v>03</v>
      </c>
      <c r="K35" s="178" t="str">
        <f t="shared" si="3"/>
        <v>4 0732 10 03</v>
      </c>
      <c r="L35" s="177" t="s">
        <v>101</v>
      </c>
      <c r="M35" s="178">
        <v>3</v>
      </c>
      <c r="N35" s="178">
        <v>2</v>
      </c>
      <c r="O35" s="178">
        <v>4</v>
      </c>
      <c r="P35" s="191">
        <f>IF(D35=4,VLOOKUP(C35,Szakmaszorzók!$B$2:$D$25,2,0),VLOOKUP(C35,Szakmaszorzók!$B$2:$D$25,3,0))</f>
        <v>2.42</v>
      </c>
      <c r="Q35" s="192">
        <f>'Támogatás szorzat tényezői'!$C$2*'Támogatás szorzat tényezői'!$C$3*N35*P35</f>
        <v>871200</v>
      </c>
      <c r="R35" s="192">
        <f>'Támogatás szorzat tényezői'!$C$2*'Támogatás szorzat tényezői'!$C$3*P35</f>
        <v>435600</v>
      </c>
    </row>
    <row r="36" spans="1:18" x14ac:dyDescent="0.25">
      <c r="A36" s="178">
        <v>64</v>
      </c>
      <c r="B36" s="177" t="s">
        <v>103</v>
      </c>
      <c r="C36" s="178" t="s">
        <v>1315</v>
      </c>
      <c r="D36" s="178">
        <v>5</v>
      </c>
      <c r="E36" s="178">
        <v>732</v>
      </c>
      <c r="F36" s="178">
        <v>7</v>
      </c>
      <c r="G36" s="178">
        <v>1</v>
      </c>
      <c r="H36" s="178" t="str">
        <f t="shared" si="0"/>
        <v>0732</v>
      </c>
      <c r="I36" s="178" t="str">
        <f t="shared" si="1"/>
        <v>07</v>
      </c>
      <c r="J36" s="178" t="str">
        <f t="shared" si="2"/>
        <v>01</v>
      </c>
      <c r="K36" s="178" t="str">
        <f t="shared" si="3"/>
        <v>5 0732 07 01</v>
      </c>
      <c r="L36" s="177" t="s">
        <v>103</v>
      </c>
      <c r="M36" s="178">
        <v>5</v>
      </c>
      <c r="N36" s="178">
        <v>2</v>
      </c>
      <c r="O36" s="178">
        <v>6</v>
      </c>
      <c r="P36" s="191">
        <f>IF(D36=4,VLOOKUP(C36,Szakmaszorzók!$B$2:$D$25,2,0),VLOOKUP(C36,Szakmaszorzók!$B$2:$D$25,3,0))</f>
        <v>2.42</v>
      </c>
      <c r="Q36" s="192">
        <f>'Támogatás szorzat tényezői'!$C$2*'Támogatás szorzat tényezői'!$C$3*N36*P36</f>
        <v>871200</v>
      </c>
      <c r="R36" s="192">
        <f>'Támogatás szorzat tényezői'!$C$2*'Támogatás szorzat tényezői'!$C$3*P36</f>
        <v>435600</v>
      </c>
    </row>
    <row r="37" spans="1:18" x14ac:dyDescent="0.25">
      <c r="A37" s="178">
        <v>51</v>
      </c>
      <c r="B37" s="177" t="s">
        <v>716</v>
      </c>
      <c r="C37" s="178" t="s">
        <v>1282</v>
      </c>
      <c r="D37" s="178">
        <v>4</v>
      </c>
      <c r="E37" s="178">
        <v>732</v>
      </c>
      <c r="F37" s="178">
        <v>6</v>
      </c>
      <c r="G37" s="178">
        <v>4</v>
      </c>
      <c r="H37" s="178" t="str">
        <f t="shared" si="0"/>
        <v>0732</v>
      </c>
      <c r="I37" s="178" t="str">
        <f t="shared" si="1"/>
        <v>06</v>
      </c>
      <c r="J37" s="178" t="str">
        <f t="shared" si="2"/>
        <v>04</v>
      </c>
      <c r="K37" s="178" t="str">
        <f t="shared" si="3"/>
        <v>4 0732 06 04</v>
      </c>
      <c r="L37" s="177" t="s">
        <v>716</v>
      </c>
      <c r="M37" s="178">
        <v>3</v>
      </c>
      <c r="N37" s="178">
        <v>2</v>
      </c>
      <c r="O37" s="178">
        <v>4</v>
      </c>
      <c r="P37" s="191">
        <f>IF(D37=4,VLOOKUP(C37,Szakmaszorzók!$B$2:$D$25,2,0),VLOOKUP(C37,Szakmaszorzók!$B$2:$D$25,3,0))</f>
        <v>2.42</v>
      </c>
      <c r="Q37" s="192">
        <f>'Támogatás szorzat tényezői'!$C$2*'Támogatás szorzat tényezői'!$C$3*N37*P37</f>
        <v>871200</v>
      </c>
      <c r="R37" s="192">
        <f>'Támogatás szorzat tényezői'!$C$2*'Támogatás szorzat tényezői'!$C$3*P37</f>
        <v>435600</v>
      </c>
    </row>
    <row r="38" spans="1:18" x14ac:dyDescent="0.25">
      <c r="A38" s="178">
        <v>125</v>
      </c>
      <c r="B38" s="177" t="s">
        <v>125</v>
      </c>
      <c r="C38" s="178" t="s">
        <v>1316</v>
      </c>
      <c r="D38" s="178">
        <v>5</v>
      </c>
      <c r="E38" s="178">
        <v>821</v>
      </c>
      <c r="F38" s="178">
        <v>17</v>
      </c>
      <c r="G38" s="178">
        <v>2</v>
      </c>
      <c r="H38" s="178" t="str">
        <f t="shared" si="0"/>
        <v>0821</v>
      </c>
      <c r="I38" s="178">
        <f t="shared" si="1"/>
        <v>17</v>
      </c>
      <c r="J38" s="178" t="str">
        <f t="shared" si="2"/>
        <v>02</v>
      </c>
      <c r="K38" s="178" t="str">
        <f t="shared" si="3"/>
        <v>5 0821 17 02</v>
      </c>
      <c r="L38" s="177" t="s">
        <v>125</v>
      </c>
      <c r="M38" s="178">
        <v>5</v>
      </c>
      <c r="N38" s="178">
        <v>2</v>
      </c>
      <c r="O38" s="178">
        <v>5</v>
      </c>
      <c r="P38" s="191">
        <f>IF(D38=4,VLOOKUP(C38,Szakmaszorzók!$B$2:$D$25,2,0),VLOOKUP(C38,Szakmaszorzók!$B$2:$D$25,3,0))</f>
        <v>2.85</v>
      </c>
      <c r="Q38" s="192">
        <f>'Támogatás szorzat tényezői'!$C$2*'Támogatás szorzat tényezői'!$C$3*N38*P38</f>
        <v>1026000</v>
      </c>
      <c r="R38" s="192">
        <f>'Támogatás szorzat tényezői'!$C$2*'Támogatás szorzat tényezői'!$C$3*P38</f>
        <v>513000</v>
      </c>
    </row>
    <row r="39" spans="1:18" x14ac:dyDescent="0.25">
      <c r="A39" s="178">
        <v>124</v>
      </c>
      <c r="B39" s="177" t="s">
        <v>1317</v>
      </c>
      <c r="C39" s="178" t="s">
        <v>1316</v>
      </c>
      <c r="D39" s="178">
        <v>4</v>
      </c>
      <c r="E39" s="178">
        <v>821</v>
      </c>
      <c r="F39" s="178">
        <v>17</v>
      </c>
      <c r="G39" s="178">
        <v>1</v>
      </c>
      <c r="H39" s="178" t="str">
        <f t="shared" ref="H39:H70" si="4">IF(E39&lt;1000,"0"&amp;E39,E39)</f>
        <v>0821</v>
      </c>
      <c r="I39" s="178">
        <f t="shared" ref="I39:I70" si="5">IF(F39&lt;10,"0"&amp;F39,F39)</f>
        <v>17</v>
      </c>
      <c r="J39" s="178" t="str">
        <f t="shared" ref="J39:J70" si="6">IF(G39&lt;10,"0"&amp;G39,G39)</f>
        <v>01</v>
      </c>
      <c r="K39" s="178" t="str">
        <f t="shared" ref="K39:K70" si="7">D39&amp;" "&amp;H39&amp;" "&amp;I39&amp;" "&amp;J39</f>
        <v>4 0821 17 01</v>
      </c>
      <c r="L39" s="177" t="s">
        <v>1317</v>
      </c>
      <c r="M39" s="178">
        <v>3</v>
      </c>
      <c r="N39" s="178">
        <v>2</v>
      </c>
      <c r="O39" s="178">
        <v>4</v>
      </c>
      <c r="P39" s="191">
        <f>IF(D39=4,VLOOKUP(C39,Szakmaszorzók!$B$2:$D$25,2,0),VLOOKUP(C39,Szakmaszorzók!$B$2:$D$25,3,0))</f>
        <v>2.42</v>
      </c>
      <c r="Q39" s="192">
        <f>'Támogatás szorzat tényezői'!$C$2*'Támogatás szorzat tényezői'!$C$3*N39*P39</f>
        <v>871200</v>
      </c>
      <c r="R39" s="192">
        <f>'Támogatás szorzat tényezői'!$C$2*'Támogatás szorzat tényezői'!$C$3*P39</f>
        <v>435600</v>
      </c>
    </row>
    <row r="40" spans="1:18" x14ac:dyDescent="0.25">
      <c r="A40" s="178">
        <v>35</v>
      </c>
      <c r="B40" s="177" t="s">
        <v>1318</v>
      </c>
      <c r="C40" s="178" t="s">
        <v>1296</v>
      </c>
      <c r="D40" s="178">
        <v>5</v>
      </c>
      <c r="E40" s="178">
        <v>721</v>
      </c>
      <c r="F40" s="178">
        <v>5</v>
      </c>
      <c r="G40" s="178">
        <v>6</v>
      </c>
      <c r="H40" s="178" t="str">
        <f t="shared" si="4"/>
        <v>0721</v>
      </c>
      <c r="I40" s="178" t="str">
        <f t="shared" si="5"/>
        <v>05</v>
      </c>
      <c r="J40" s="178" t="str">
        <f t="shared" si="6"/>
        <v>06</v>
      </c>
      <c r="K40" s="178" t="str">
        <f t="shared" si="7"/>
        <v>5 0721 05 06</v>
      </c>
      <c r="L40" s="177" t="s">
        <v>1318</v>
      </c>
      <c r="M40" s="178">
        <v>5</v>
      </c>
      <c r="N40" s="178">
        <v>2</v>
      </c>
      <c r="O40" s="178">
        <v>6</v>
      </c>
      <c r="P40" s="191">
        <f>IF(D40=4,VLOOKUP(C40,Szakmaszorzók!$B$2:$D$25,2,0),VLOOKUP(C40,Szakmaszorzók!$B$2:$D$25,3,0))</f>
        <v>2.2000000000000002</v>
      </c>
      <c r="Q40" s="192">
        <f>'Támogatás szorzat tényezői'!$C$2*'Támogatás szorzat tényezői'!$C$3*N40*P40</f>
        <v>792000.00000000012</v>
      </c>
      <c r="R40" s="192">
        <f>'Támogatás szorzat tényezői'!$C$2*'Támogatás szorzat tényezői'!$C$3*P40</f>
        <v>396000.00000000006</v>
      </c>
    </row>
    <row r="41" spans="1:18" x14ac:dyDescent="0.25">
      <c r="A41" s="178">
        <v>36</v>
      </c>
      <c r="B41" s="177" t="s">
        <v>1319</v>
      </c>
      <c r="C41" s="178" t="s">
        <v>1296</v>
      </c>
      <c r="D41" s="178">
        <v>4</v>
      </c>
      <c r="E41" s="178">
        <v>721</v>
      </c>
      <c r="F41" s="178">
        <v>5</v>
      </c>
      <c r="G41" s="178">
        <v>7</v>
      </c>
      <c r="H41" s="178" t="str">
        <f t="shared" si="4"/>
        <v>0721</v>
      </c>
      <c r="I41" s="178" t="str">
        <f t="shared" si="5"/>
        <v>05</v>
      </c>
      <c r="J41" s="178" t="str">
        <f t="shared" si="6"/>
        <v>07</v>
      </c>
      <c r="K41" s="178" t="str">
        <f t="shared" si="7"/>
        <v>4 0721 05 07</v>
      </c>
      <c r="L41" s="177" t="s">
        <v>1319</v>
      </c>
      <c r="M41" s="178">
        <v>3</v>
      </c>
      <c r="N41" s="178">
        <v>2</v>
      </c>
      <c r="O41" s="178">
        <v>4</v>
      </c>
      <c r="P41" s="191">
        <f>IF(D41=4,VLOOKUP(C41,Szakmaszorzók!$B$2:$D$25,2,0),VLOOKUP(C41,Szakmaszorzók!$B$2:$D$25,3,0))</f>
        <v>2.2000000000000002</v>
      </c>
      <c r="Q41" s="192">
        <f>'Támogatás szorzat tényezői'!$C$2*'Támogatás szorzat tényezői'!$C$3*N41*P41</f>
        <v>792000.00000000012</v>
      </c>
      <c r="R41" s="192">
        <f>'Támogatás szorzat tényezői'!$C$2*'Támogatás szorzat tényezői'!$C$3*P41</f>
        <v>396000.00000000006</v>
      </c>
    </row>
    <row r="42" spans="1:18" x14ac:dyDescent="0.25">
      <c r="A42" s="178">
        <v>26</v>
      </c>
      <c r="B42" s="177" t="s">
        <v>109</v>
      </c>
      <c r="C42" s="178" t="s">
        <v>1290</v>
      </c>
      <c r="D42" s="178">
        <v>5</v>
      </c>
      <c r="E42" s="178">
        <v>713</v>
      </c>
      <c r="F42" s="178">
        <v>4</v>
      </c>
      <c r="G42" s="178">
        <v>4</v>
      </c>
      <c r="H42" s="178" t="str">
        <f t="shared" si="4"/>
        <v>0713</v>
      </c>
      <c r="I42" s="178" t="str">
        <f t="shared" si="5"/>
        <v>04</v>
      </c>
      <c r="J42" s="178" t="str">
        <f t="shared" si="6"/>
        <v>04</v>
      </c>
      <c r="K42" s="178" t="str">
        <f t="shared" si="7"/>
        <v>5 0713 04 04</v>
      </c>
      <c r="L42" s="177" t="s">
        <v>109</v>
      </c>
      <c r="M42" s="178">
        <v>5</v>
      </c>
      <c r="N42" s="178">
        <v>2</v>
      </c>
      <c r="O42" s="178">
        <v>7</v>
      </c>
      <c r="P42" s="191">
        <f>IF(D42=4,VLOOKUP(C42,Szakmaszorzók!$B$2:$D$25,2,0),VLOOKUP(C42,Szakmaszorzók!$B$2:$D$25,3,0))</f>
        <v>2.85</v>
      </c>
      <c r="Q42" s="192">
        <f>'Támogatás szorzat tényezői'!$C$2*'Támogatás szorzat tényezői'!$C$3*N42*P42</f>
        <v>1026000</v>
      </c>
      <c r="R42" s="192">
        <f>'Támogatás szorzat tényezői'!$C$2*'Támogatás szorzat tényezői'!$C$3*P42</f>
        <v>513000</v>
      </c>
    </row>
    <row r="43" spans="1:18" x14ac:dyDescent="0.25">
      <c r="A43" s="178">
        <v>69</v>
      </c>
      <c r="B43" s="177" t="s">
        <v>110</v>
      </c>
      <c r="C43" s="178" t="s">
        <v>1289</v>
      </c>
      <c r="D43" s="178">
        <v>5</v>
      </c>
      <c r="E43" s="178">
        <v>722</v>
      </c>
      <c r="F43" s="178">
        <v>8</v>
      </c>
      <c r="G43" s="178">
        <v>2</v>
      </c>
      <c r="H43" s="178" t="str">
        <f t="shared" si="4"/>
        <v>0722</v>
      </c>
      <c r="I43" s="178" t="str">
        <f t="shared" si="5"/>
        <v>08</v>
      </c>
      <c r="J43" s="178" t="str">
        <f t="shared" si="6"/>
        <v>02</v>
      </c>
      <c r="K43" s="178" t="str">
        <f t="shared" si="7"/>
        <v>5 0722 08 02</v>
      </c>
      <c r="L43" s="177" t="s">
        <v>110</v>
      </c>
      <c r="M43" s="178">
        <v>5</v>
      </c>
      <c r="N43" s="178">
        <v>2</v>
      </c>
      <c r="O43" s="178">
        <v>5</v>
      </c>
      <c r="P43" s="191">
        <f>IF(D43=4,VLOOKUP(C43,Szakmaszorzók!$B$2:$D$25,2,0),VLOOKUP(C43,Szakmaszorzók!$B$2:$D$25,3,0))</f>
        <v>2.42</v>
      </c>
      <c r="Q43" s="192">
        <f>'Támogatás szorzat tényezői'!$C$2*'Támogatás szorzat tényezői'!$C$3*N43*P43</f>
        <v>871200</v>
      </c>
      <c r="R43" s="192">
        <f>'Támogatás szorzat tényezői'!$C$2*'Támogatás szorzat tényezői'!$C$3*P43</f>
        <v>435600</v>
      </c>
    </row>
    <row r="44" spans="1:18" x14ac:dyDescent="0.25">
      <c r="A44" s="178">
        <v>86</v>
      </c>
      <c r="B44" s="177" t="s">
        <v>1320</v>
      </c>
      <c r="C44" s="178" t="s">
        <v>1321</v>
      </c>
      <c r="D44" s="178">
        <v>5</v>
      </c>
      <c r="E44" s="178">
        <v>1031</v>
      </c>
      <c r="F44" s="178">
        <v>11</v>
      </c>
      <c r="G44" s="178">
        <v>1</v>
      </c>
      <c r="H44" s="178">
        <f t="shared" si="4"/>
        <v>1031</v>
      </c>
      <c r="I44" s="178">
        <f t="shared" si="5"/>
        <v>11</v>
      </c>
      <c r="J44" s="178" t="str">
        <f t="shared" si="6"/>
        <v>01</v>
      </c>
      <c r="K44" s="178" t="str">
        <f t="shared" si="7"/>
        <v>5 1031 11 01</v>
      </c>
      <c r="L44" s="177" t="s">
        <v>1320</v>
      </c>
      <c r="M44" s="178">
        <v>6</v>
      </c>
      <c r="N44" s="178">
        <v>3</v>
      </c>
      <c r="O44" s="178">
        <v>6</v>
      </c>
      <c r="P44" s="191">
        <f>IF(D44=4,VLOOKUP(C44,Szakmaszorzók!$B$2:$D$25,2,0),VLOOKUP(C44,Szakmaszorzók!$B$2:$D$25,3,0))</f>
        <v>2.85</v>
      </c>
      <c r="Q44" s="192">
        <f>'Támogatás szorzat tényezői'!$C$2*'Támogatás szorzat tényezői'!$C$3*N44*P44</f>
        <v>1539000</v>
      </c>
      <c r="R44" s="192">
        <f>'Támogatás szorzat tényezői'!$C$2*'Támogatás szorzat tényezői'!$C$3*P44</f>
        <v>513000</v>
      </c>
    </row>
    <row r="45" spans="1:18" x14ac:dyDescent="0.25">
      <c r="A45" s="178">
        <v>87</v>
      </c>
      <c r="B45" s="177" t="s">
        <v>1322</v>
      </c>
      <c r="C45" s="178" t="s">
        <v>1321</v>
      </c>
      <c r="D45" s="178">
        <v>5</v>
      </c>
      <c r="E45" s="178">
        <v>1031</v>
      </c>
      <c r="F45" s="178">
        <v>11</v>
      </c>
      <c r="G45" s="178">
        <v>2</v>
      </c>
      <c r="H45" s="178">
        <f t="shared" si="4"/>
        <v>1031</v>
      </c>
      <c r="I45" s="178">
        <f t="shared" si="5"/>
        <v>11</v>
      </c>
      <c r="J45" s="178" t="str">
        <f t="shared" si="6"/>
        <v>02</v>
      </c>
      <c r="K45" s="178" t="str">
        <f t="shared" si="7"/>
        <v>5 1031 11 02</v>
      </c>
      <c r="L45" s="177" t="s">
        <v>1322</v>
      </c>
      <c r="M45" s="178">
        <v>5</v>
      </c>
      <c r="N45" s="178">
        <v>2</v>
      </c>
      <c r="O45" s="178">
        <v>6</v>
      </c>
      <c r="P45" s="191">
        <f>IF(D45=4,VLOOKUP(C45,Szakmaszorzók!$B$2:$D$25,2,0),VLOOKUP(C45,Szakmaszorzók!$B$2:$D$25,3,0))</f>
        <v>2.85</v>
      </c>
      <c r="Q45" s="192">
        <f>'Támogatás szorzat tényezői'!$C$2*'Támogatás szorzat tényezői'!$C$3*N45*P45</f>
        <v>1026000</v>
      </c>
      <c r="R45" s="192">
        <f>'Támogatás szorzat tényezői'!$C$2*'Támogatás szorzat tényezői'!$C$3*P45</f>
        <v>513000</v>
      </c>
    </row>
    <row r="46" spans="1:18" x14ac:dyDescent="0.25">
      <c r="A46" s="178">
        <v>88</v>
      </c>
      <c r="B46" s="177" t="s">
        <v>1323</v>
      </c>
      <c r="C46" s="178" t="s">
        <v>1321</v>
      </c>
      <c r="D46" s="178">
        <v>5</v>
      </c>
      <c r="E46" s="178">
        <v>1031</v>
      </c>
      <c r="F46" s="178">
        <v>11</v>
      </c>
      <c r="G46" s="178">
        <v>3</v>
      </c>
      <c r="H46" s="178">
        <f t="shared" si="4"/>
        <v>1031</v>
      </c>
      <c r="I46" s="178">
        <f t="shared" si="5"/>
        <v>11</v>
      </c>
      <c r="J46" s="178" t="str">
        <f t="shared" si="6"/>
        <v>03</v>
      </c>
      <c r="K46" s="178" t="str">
        <f t="shared" si="7"/>
        <v>5 1031 11 03</v>
      </c>
      <c r="L46" s="177" t="s">
        <v>1323</v>
      </c>
      <c r="M46" s="178">
        <v>6</v>
      </c>
      <c r="N46" s="178">
        <v>3</v>
      </c>
      <c r="O46" s="178">
        <v>6</v>
      </c>
      <c r="P46" s="191">
        <f>IF(D46=4,VLOOKUP(C46,Szakmaszorzók!$B$2:$D$25,2,0),VLOOKUP(C46,Szakmaszorzók!$B$2:$D$25,3,0))</f>
        <v>2.85</v>
      </c>
      <c r="Q46" s="192">
        <f>'Támogatás szorzat tényezői'!$C$2*'Támogatás szorzat tényezői'!$C$3*N46*P46</f>
        <v>1539000</v>
      </c>
      <c r="R46" s="192">
        <f>'Támogatás szorzat tényezői'!$C$2*'Támogatás szorzat tényezői'!$C$3*P46</f>
        <v>513000</v>
      </c>
    </row>
    <row r="47" spans="1:18" x14ac:dyDescent="0.25">
      <c r="A47" s="178">
        <v>5</v>
      </c>
      <c r="B47" s="177" t="s">
        <v>1324</v>
      </c>
      <c r="C47" s="178" t="s">
        <v>1293</v>
      </c>
      <c r="D47" s="178">
        <v>4</v>
      </c>
      <c r="E47" s="178">
        <v>724</v>
      </c>
      <c r="F47" s="178">
        <v>1</v>
      </c>
      <c r="G47" s="178">
        <v>3</v>
      </c>
      <c r="H47" s="178" t="str">
        <f t="shared" si="4"/>
        <v>0724</v>
      </c>
      <c r="I47" s="178" t="str">
        <f t="shared" si="5"/>
        <v>01</v>
      </c>
      <c r="J47" s="178" t="str">
        <f t="shared" si="6"/>
        <v>03</v>
      </c>
      <c r="K47" s="178" t="str">
        <f t="shared" si="7"/>
        <v>4 0724 01 03</v>
      </c>
      <c r="L47" s="177" t="s">
        <v>1324</v>
      </c>
      <c r="M47" s="178">
        <v>3</v>
      </c>
      <c r="N47" s="178">
        <v>2</v>
      </c>
      <c r="O47" s="178">
        <v>5</v>
      </c>
      <c r="P47" s="191">
        <f>IF(D47=4,VLOOKUP(C47,Szakmaszorzók!$B$2:$D$25,2,0),VLOOKUP(C47,Szakmaszorzók!$B$2:$D$25,3,0))</f>
        <v>2.42</v>
      </c>
      <c r="Q47" s="192">
        <f>'Támogatás szorzat tényezői'!$C$2*'Támogatás szorzat tényezői'!$C$3*N47*P47</f>
        <v>871200</v>
      </c>
      <c r="R47" s="192">
        <f>'Támogatás szorzat tényezői'!$C$2*'Támogatás szorzat tényezői'!$C$3*P47</f>
        <v>435600</v>
      </c>
    </row>
    <row r="48" spans="1:18" x14ac:dyDescent="0.25">
      <c r="A48" s="178">
        <v>138</v>
      </c>
      <c r="B48" s="177" t="s">
        <v>1983</v>
      </c>
      <c r="C48" s="178" t="s">
        <v>1287</v>
      </c>
      <c r="D48" s="178">
        <v>4</v>
      </c>
      <c r="E48" s="178">
        <v>715</v>
      </c>
      <c r="F48" s="178">
        <v>19</v>
      </c>
      <c r="G48" s="178">
        <v>3</v>
      </c>
      <c r="H48" s="178" t="str">
        <f t="shared" si="4"/>
        <v>0715</v>
      </c>
      <c r="I48" s="178">
        <f t="shared" si="5"/>
        <v>19</v>
      </c>
      <c r="J48" s="178" t="str">
        <f t="shared" si="6"/>
        <v>03</v>
      </c>
      <c r="K48" s="178" t="str">
        <f t="shared" si="7"/>
        <v>4 0715 19 03</v>
      </c>
      <c r="L48" s="177" t="s">
        <v>1983</v>
      </c>
      <c r="M48" s="178">
        <v>3</v>
      </c>
      <c r="N48" s="178">
        <v>2</v>
      </c>
      <c r="O48" s="178">
        <v>4</v>
      </c>
      <c r="P48" s="191">
        <f>IF(D48=4,VLOOKUP(C48,Szakmaszorzók!$B$2:$D$25,2,0),VLOOKUP(C48,Szakmaszorzók!$B$2:$D$25,3,0))</f>
        <v>2.85</v>
      </c>
      <c r="Q48" s="192">
        <f>'Támogatás szorzat tényezői'!$C$2*'Támogatás szorzat tényezői'!$C$3*N48*P48</f>
        <v>1026000</v>
      </c>
      <c r="R48" s="192">
        <f>'Támogatás szorzat tényezői'!$C$2*'Támogatás szorzat tényezői'!$C$3*P48</f>
        <v>513000</v>
      </c>
    </row>
    <row r="49" spans="1:18" x14ac:dyDescent="0.25">
      <c r="A49" s="178">
        <v>52</v>
      </c>
      <c r="B49" s="177" t="s">
        <v>117</v>
      </c>
      <c r="C49" s="178" t="s">
        <v>1282</v>
      </c>
      <c r="D49" s="178">
        <v>4</v>
      </c>
      <c r="E49" s="178">
        <v>732</v>
      </c>
      <c r="F49" s="178">
        <v>6</v>
      </c>
      <c r="G49" s="178">
        <v>5</v>
      </c>
      <c r="H49" s="178" t="str">
        <f t="shared" si="4"/>
        <v>0732</v>
      </c>
      <c r="I49" s="178" t="str">
        <f t="shared" si="5"/>
        <v>06</v>
      </c>
      <c r="J49" s="178" t="str">
        <f t="shared" si="6"/>
        <v>05</v>
      </c>
      <c r="K49" s="178" t="str">
        <f t="shared" si="7"/>
        <v>4 0732 06 05</v>
      </c>
      <c r="L49" s="177" t="s">
        <v>117</v>
      </c>
      <c r="M49" s="178">
        <v>3</v>
      </c>
      <c r="N49" s="178">
        <v>2</v>
      </c>
      <c r="O49" s="178">
        <v>4</v>
      </c>
      <c r="P49" s="191">
        <f>IF(D49=4,VLOOKUP(C49,Szakmaszorzók!$B$2:$D$25,2,0),VLOOKUP(C49,Szakmaszorzók!$B$2:$D$25,3,0))</f>
        <v>2.42</v>
      </c>
      <c r="Q49" s="192">
        <f>'Támogatás szorzat tényezői'!$C$2*'Támogatás szorzat tényezői'!$C$3*N49*P49</f>
        <v>871200</v>
      </c>
      <c r="R49" s="192">
        <f>'Támogatás szorzat tényezői'!$C$2*'Támogatás szorzat tényezői'!$C$3*P49</f>
        <v>435600</v>
      </c>
    </row>
    <row r="50" spans="1:18" x14ac:dyDescent="0.25">
      <c r="A50" s="178">
        <v>76</v>
      </c>
      <c r="B50" s="177" t="s">
        <v>118</v>
      </c>
      <c r="C50" s="178" t="s">
        <v>1301</v>
      </c>
      <c r="D50" s="178">
        <v>4</v>
      </c>
      <c r="E50" s="178">
        <v>715</v>
      </c>
      <c r="F50" s="178">
        <v>10</v>
      </c>
      <c r="G50" s="178">
        <v>4</v>
      </c>
      <c r="H50" s="178" t="str">
        <f t="shared" si="4"/>
        <v>0715</v>
      </c>
      <c r="I50" s="178">
        <f t="shared" si="5"/>
        <v>10</v>
      </c>
      <c r="J50" s="178" t="str">
        <f t="shared" si="6"/>
        <v>04</v>
      </c>
      <c r="K50" s="178" t="str">
        <f t="shared" si="7"/>
        <v>4 0715 10 04</v>
      </c>
      <c r="L50" s="177" t="s">
        <v>118</v>
      </c>
      <c r="M50" s="178">
        <v>3</v>
      </c>
      <c r="N50" s="178">
        <v>2</v>
      </c>
      <c r="O50" s="178">
        <v>5</v>
      </c>
      <c r="P50" s="191">
        <f>IF(D50=4,VLOOKUP(C50,Szakmaszorzók!$B$2:$D$25,2,0),VLOOKUP(C50,Szakmaszorzók!$B$2:$D$25,3,0))</f>
        <v>2.42</v>
      </c>
      <c r="Q50" s="192">
        <f>'Támogatás szorzat tényezői'!$C$2*'Támogatás szorzat tényezői'!$C$3*N50*P50</f>
        <v>871200</v>
      </c>
      <c r="R50" s="192">
        <f>'Támogatás szorzat tényezői'!$C$2*'Támogatás szorzat tényezői'!$C$3*P50</f>
        <v>435600</v>
      </c>
    </row>
    <row r="51" spans="1:18" x14ac:dyDescent="0.25">
      <c r="A51" s="178">
        <v>149</v>
      </c>
      <c r="B51" s="177" t="s">
        <v>120</v>
      </c>
      <c r="C51" s="178" t="s">
        <v>1325</v>
      </c>
      <c r="D51" s="178">
        <v>5</v>
      </c>
      <c r="E51" s="178">
        <v>1014</v>
      </c>
      <c r="F51" s="178">
        <v>20</v>
      </c>
      <c r="G51" s="178">
        <v>1</v>
      </c>
      <c r="H51" s="178">
        <f t="shared" si="4"/>
        <v>1014</v>
      </c>
      <c r="I51" s="178">
        <f t="shared" si="5"/>
        <v>20</v>
      </c>
      <c r="J51" s="178" t="str">
        <f t="shared" si="6"/>
        <v>01</v>
      </c>
      <c r="K51" s="178" t="str">
        <f t="shared" si="7"/>
        <v>5 1014 20 01</v>
      </c>
      <c r="L51" s="177" t="s">
        <v>120</v>
      </c>
      <c r="M51" s="178">
        <v>5</v>
      </c>
      <c r="N51" s="178">
        <v>2</v>
      </c>
      <c r="O51" s="178">
        <v>4</v>
      </c>
      <c r="P51" s="191">
        <f>IF(D51=4,VLOOKUP(C51,Szakmaszorzók!$B$2:$D$25,2,0),VLOOKUP(C51,Szakmaszorzók!$B$2:$D$25,3,0))</f>
        <v>2.2000000000000002</v>
      </c>
      <c r="Q51" s="192">
        <f>'Támogatás szorzat tényezői'!$C$2*'Támogatás szorzat tényezői'!$C$3*N51*P51</f>
        <v>792000.00000000012</v>
      </c>
      <c r="R51" s="192">
        <f>'Támogatás szorzat tényezői'!$C$2*'Támogatás szorzat tényezői'!$C$3*P51</f>
        <v>396000.00000000006</v>
      </c>
    </row>
    <row r="52" spans="1:18" x14ac:dyDescent="0.25">
      <c r="A52" s="178">
        <v>6</v>
      </c>
      <c r="B52" s="177" t="s">
        <v>1326</v>
      </c>
      <c r="C52" s="178" t="s">
        <v>1293</v>
      </c>
      <c r="D52" s="178">
        <v>4</v>
      </c>
      <c r="E52" s="178">
        <v>724</v>
      </c>
      <c r="F52" s="178">
        <v>1</v>
      </c>
      <c r="G52" s="178">
        <v>4</v>
      </c>
      <c r="H52" s="178" t="str">
        <f t="shared" si="4"/>
        <v>0724</v>
      </c>
      <c r="I52" s="178" t="str">
        <f t="shared" si="5"/>
        <v>01</v>
      </c>
      <c r="J52" s="178" t="str">
        <f t="shared" si="6"/>
        <v>04</v>
      </c>
      <c r="K52" s="178" t="str">
        <f t="shared" si="7"/>
        <v>4 0724 01 04</v>
      </c>
      <c r="L52" s="177" t="s">
        <v>1326</v>
      </c>
      <c r="M52" s="178">
        <v>3</v>
      </c>
      <c r="N52" s="178">
        <v>2</v>
      </c>
      <c r="O52" s="178">
        <v>5</v>
      </c>
      <c r="P52" s="191">
        <f>IF(D52=4,VLOOKUP(C52,Szakmaszorzók!$B$2:$D$25,2,0),VLOOKUP(C52,Szakmaszorzók!$B$2:$D$25,3,0))</f>
        <v>2.42</v>
      </c>
      <c r="Q52" s="192">
        <f>'Támogatás szorzat tényezői'!$C$2*'Támogatás szorzat tényezői'!$C$3*N52*P52</f>
        <v>871200</v>
      </c>
      <c r="R52" s="192">
        <f>'Támogatás szorzat tényezői'!$C$2*'Támogatás szorzat tényezői'!$C$3*P52</f>
        <v>435600</v>
      </c>
    </row>
    <row r="53" spans="1:18" x14ac:dyDescent="0.25">
      <c r="A53" s="178">
        <v>7</v>
      </c>
      <c r="B53" s="177" t="s">
        <v>121</v>
      </c>
      <c r="C53" s="178" t="s">
        <v>1293</v>
      </c>
      <c r="D53" s="178">
        <v>5</v>
      </c>
      <c r="E53" s="178">
        <v>724</v>
      </c>
      <c r="F53" s="178">
        <v>1</v>
      </c>
      <c r="G53" s="178">
        <v>5</v>
      </c>
      <c r="H53" s="178" t="str">
        <f t="shared" si="4"/>
        <v>0724</v>
      </c>
      <c r="I53" s="178" t="str">
        <f t="shared" si="5"/>
        <v>01</v>
      </c>
      <c r="J53" s="178" t="str">
        <f t="shared" si="6"/>
        <v>05</v>
      </c>
      <c r="K53" s="178" t="str">
        <f t="shared" si="7"/>
        <v>5 0724 01 05</v>
      </c>
      <c r="L53" s="177" t="s">
        <v>121</v>
      </c>
      <c r="M53" s="178">
        <v>5</v>
      </c>
      <c r="N53" s="178">
        <v>2</v>
      </c>
      <c r="O53" s="178">
        <v>6</v>
      </c>
      <c r="P53" s="191">
        <f>IF(D53=4,VLOOKUP(C53,Szakmaszorzók!$B$2:$D$25,2,0),VLOOKUP(C53,Szakmaszorzók!$B$2:$D$25,3,0))</f>
        <v>2.42</v>
      </c>
      <c r="Q53" s="192">
        <f>'Támogatás szorzat tényezői'!$C$2*'Támogatás szorzat tényezői'!$C$3*N53*P53</f>
        <v>871200</v>
      </c>
      <c r="R53" s="192">
        <f>'Támogatás szorzat tényezői'!$C$2*'Támogatás szorzat tényezői'!$C$3*P53</f>
        <v>435600</v>
      </c>
    </row>
    <row r="54" spans="1:18" x14ac:dyDescent="0.25">
      <c r="A54" s="178">
        <v>151</v>
      </c>
      <c r="B54" s="177" t="s">
        <v>122</v>
      </c>
      <c r="C54" s="178" t="s">
        <v>1327</v>
      </c>
      <c r="D54" s="178">
        <v>5</v>
      </c>
      <c r="E54" s="178">
        <v>1012</v>
      </c>
      <c r="F54" s="178">
        <v>21</v>
      </c>
      <c r="G54" s="178">
        <v>1</v>
      </c>
      <c r="H54" s="178">
        <f t="shared" si="4"/>
        <v>1012</v>
      </c>
      <c r="I54" s="178">
        <f t="shared" si="5"/>
        <v>21</v>
      </c>
      <c r="J54" s="178" t="str">
        <f t="shared" si="6"/>
        <v>01</v>
      </c>
      <c r="K54" s="178" t="str">
        <f t="shared" si="7"/>
        <v>5 1012 21 01</v>
      </c>
      <c r="L54" s="177" t="s">
        <v>122</v>
      </c>
      <c r="M54" s="178">
        <v>5</v>
      </c>
      <c r="N54" s="178">
        <v>2</v>
      </c>
      <c r="O54" s="178">
        <v>6</v>
      </c>
      <c r="P54" s="191">
        <f>IF(D54=4,VLOOKUP(C54,Szakmaszorzók!$B$2:$D$25,2,0),VLOOKUP(C54,Szakmaszorzók!$B$2:$D$25,3,0))</f>
        <v>2.42</v>
      </c>
      <c r="Q54" s="192">
        <f>'Támogatás szorzat tényezői'!$C$2*'Támogatás szorzat tényezői'!$C$3*N54*P54</f>
        <v>871200</v>
      </c>
      <c r="R54" s="192">
        <f>'Támogatás szorzat tényezői'!$C$2*'Támogatás szorzat tényezői'!$C$3*P54</f>
        <v>435600</v>
      </c>
    </row>
    <row r="55" spans="1:18" x14ac:dyDescent="0.25">
      <c r="A55" s="178">
        <v>10</v>
      </c>
      <c r="B55" s="177" t="s">
        <v>126</v>
      </c>
      <c r="C55" s="178" t="s">
        <v>1328</v>
      </c>
      <c r="D55" s="178">
        <v>5</v>
      </c>
      <c r="E55" s="178">
        <v>911</v>
      </c>
      <c r="F55" s="178">
        <v>2</v>
      </c>
      <c r="G55" s="178">
        <v>1</v>
      </c>
      <c r="H55" s="178" t="str">
        <f t="shared" si="4"/>
        <v>0911</v>
      </c>
      <c r="I55" s="178" t="str">
        <f t="shared" si="5"/>
        <v>02</v>
      </c>
      <c r="J55" s="178" t="str">
        <f t="shared" si="6"/>
        <v>01</v>
      </c>
      <c r="K55" s="178" t="str">
        <f t="shared" si="7"/>
        <v>5 0911 02 01</v>
      </c>
      <c r="L55" s="177" t="s">
        <v>126</v>
      </c>
      <c r="M55" s="178" t="s">
        <v>374</v>
      </c>
      <c r="N55" s="178">
        <v>3</v>
      </c>
      <c r="O55" s="178">
        <v>7</v>
      </c>
      <c r="P55" s="191">
        <f>IF(D55=4,VLOOKUP(C55,Szakmaszorzók!$B$2:$D$25,2,0),VLOOKUP(C55,Szakmaszorzók!$B$2:$D$25,3,0))</f>
        <v>2.85</v>
      </c>
      <c r="Q55" s="192">
        <f>'Támogatás szorzat tényezői'!$C$2*'Támogatás szorzat tényezői'!$C$3*N55*P55</f>
        <v>1539000</v>
      </c>
      <c r="R55" s="192">
        <f>'Támogatás szorzat tényezői'!$C$2*'Támogatás szorzat tényezői'!$C$3*P55</f>
        <v>513000</v>
      </c>
    </row>
    <row r="56" spans="1:18" x14ac:dyDescent="0.25">
      <c r="A56" s="178">
        <v>117</v>
      </c>
      <c r="B56" s="177" t="s">
        <v>1330</v>
      </c>
      <c r="C56" s="178" t="s">
        <v>1298</v>
      </c>
      <c r="D56" s="178">
        <v>5</v>
      </c>
      <c r="E56" s="178">
        <v>213</v>
      </c>
      <c r="F56" s="178">
        <v>16</v>
      </c>
      <c r="G56" s="178">
        <v>8</v>
      </c>
      <c r="H56" s="178" t="str">
        <f t="shared" si="4"/>
        <v>0213</v>
      </c>
      <c r="I56" s="178">
        <f t="shared" si="5"/>
        <v>16</v>
      </c>
      <c r="J56" s="178" t="str">
        <f t="shared" si="6"/>
        <v>08</v>
      </c>
      <c r="K56" s="178" t="str">
        <f t="shared" si="7"/>
        <v>5 0213 16 08</v>
      </c>
      <c r="L56" s="177" t="s">
        <v>1330</v>
      </c>
      <c r="M56" s="178">
        <v>5</v>
      </c>
      <c r="N56" s="178">
        <v>2</v>
      </c>
      <c r="O56" s="178">
        <v>6</v>
      </c>
      <c r="P56" s="191">
        <f>IF(D56=4,VLOOKUP(C56,Szakmaszorzók!$B$2:$D$25,2,0),VLOOKUP(C56,Szakmaszorzók!$B$2:$D$25,3,0))</f>
        <v>2.42</v>
      </c>
      <c r="Q56" s="192">
        <f>'Támogatás szorzat tényezői'!$C$2*'Támogatás szorzat tényezői'!$C$3*N56*P56</f>
        <v>871200</v>
      </c>
      <c r="R56" s="192">
        <f>'Támogatás szorzat tényezői'!$C$2*'Támogatás szorzat tényezői'!$C$3*P56</f>
        <v>435600</v>
      </c>
    </row>
    <row r="57" spans="1:18" x14ac:dyDescent="0.25">
      <c r="A57" s="178">
        <v>126</v>
      </c>
      <c r="B57" s="177" t="s">
        <v>132</v>
      </c>
      <c r="C57" s="178" t="s">
        <v>1316</v>
      </c>
      <c r="D57" s="178">
        <v>5</v>
      </c>
      <c r="E57" s="178">
        <v>810</v>
      </c>
      <c r="F57" s="178">
        <v>17</v>
      </c>
      <c r="G57" s="178">
        <v>3</v>
      </c>
      <c r="H57" s="178" t="str">
        <f t="shared" si="4"/>
        <v>0810</v>
      </c>
      <c r="I57" s="178">
        <f t="shared" si="5"/>
        <v>17</v>
      </c>
      <c r="J57" s="178" t="str">
        <f t="shared" si="6"/>
        <v>03</v>
      </c>
      <c r="K57" s="178" t="str">
        <f t="shared" si="7"/>
        <v>5 0810 17 03</v>
      </c>
      <c r="L57" s="177" t="s">
        <v>132</v>
      </c>
      <c r="M57" s="178">
        <v>5</v>
      </c>
      <c r="N57" s="178">
        <v>2</v>
      </c>
      <c r="O57" s="178">
        <v>5</v>
      </c>
      <c r="P57" s="191">
        <f>IF(D57=4,VLOOKUP(C57,Szakmaszorzók!$B$2:$D$25,2,0),VLOOKUP(C57,Szakmaszorzók!$B$2:$D$25,3,0))</f>
        <v>2.85</v>
      </c>
      <c r="Q57" s="192">
        <f>'Támogatás szorzat tényezői'!$C$2*'Támogatás szorzat tényezői'!$C$3*N57*P57</f>
        <v>1026000</v>
      </c>
      <c r="R57" s="192">
        <f>'Támogatás szorzat tényezői'!$C$2*'Támogatás szorzat tényezői'!$C$3*P57</f>
        <v>513000</v>
      </c>
    </row>
    <row r="58" spans="1:18" x14ac:dyDescent="0.25">
      <c r="A58" s="178">
        <v>127</v>
      </c>
      <c r="B58" s="177" t="s">
        <v>135</v>
      </c>
      <c r="C58" s="178" t="s">
        <v>1316</v>
      </c>
      <c r="D58" s="178">
        <v>4</v>
      </c>
      <c r="E58" s="178">
        <v>811</v>
      </c>
      <c r="F58" s="178">
        <v>17</v>
      </c>
      <c r="G58" s="178">
        <v>4</v>
      </c>
      <c r="H58" s="178" t="str">
        <f t="shared" si="4"/>
        <v>0811</v>
      </c>
      <c r="I58" s="178">
        <f t="shared" si="5"/>
        <v>17</v>
      </c>
      <c r="J58" s="178" t="str">
        <f t="shared" si="6"/>
        <v>04</v>
      </c>
      <c r="K58" s="178" t="str">
        <f t="shared" si="7"/>
        <v>4 0811 17 04</v>
      </c>
      <c r="L58" s="177" t="s">
        <v>135</v>
      </c>
      <c r="M58" s="178">
        <v>3</v>
      </c>
      <c r="N58" s="178">
        <v>2</v>
      </c>
      <c r="O58" s="178">
        <v>4</v>
      </c>
      <c r="P58" s="191">
        <f>IF(D58=4,VLOOKUP(C58,Szakmaszorzók!$B$2:$D$25,2,0),VLOOKUP(C58,Szakmaszorzók!$B$2:$D$25,3,0))</f>
        <v>2.42</v>
      </c>
      <c r="Q58" s="192">
        <f>'Támogatás szorzat tényezői'!$C$2*'Támogatás szorzat tényezői'!$C$3*N58*P58</f>
        <v>871200</v>
      </c>
      <c r="R58" s="192">
        <f>'Támogatás szorzat tényezői'!$C$2*'Támogatás szorzat tényezői'!$C$3*P58</f>
        <v>435600</v>
      </c>
    </row>
    <row r="59" spans="1:18" x14ac:dyDescent="0.25">
      <c r="A59" s="178">
        <v>77</v>
      </c>
      <c r="B59" s="177" t="s">
        <v>1333</v>
      </c>
      <c r="C59" s="178" t="s">
        <v>1301</v>
      </c>
      <c r="D59" s="178">
        <v>5</v>
      </c>
      <c r="E59" s="178">
        <v>715</v>
      </c>
      <c r="F59" s="178">
        <v>10</v>
      </c>
      <c r="G59" s="178">
        <v>5</v>
      </c>
      <c r="H59" s="178" t="str">
        <f t="shared" si="4"/>
        <v>0715</v>
      </c>
      <c r="I59" s="178">
        <f t="shared" si="5"/>
        <v>10</v>
      </c>
      <c r="J59" s="178" t="str">
        <f t="shared" si="6"/>
        <v>05</v>
      </c>
      <c r="K59" s="178" t="str">
        <f t="shared" si="7"/>
        <v>5 0715 10 05</v>
      </c>
      <c r="L59" s="177" t="s">
        <v>1333</v>
      </c>
      <c r="M59" s="178">
        <v>5</v>
      </c>
      <c r="N59" s="178">
        <v>2</v>
      </c>
      <c r="O59" s="178">
        <v>6</v>
      </c>
      <c r="P59" s="191">
        <f>IF(D59=4,VLOOKUP(C59,Szakmaszorzók!$B$2:$D$25,2,0),VLOOKUP(C59,Szakmaszorzók!$B$2:$D$25,3,0))</f>
        <v>2.85</v>
      </c>
      <c r="Q59" s="192">
        <f>'Támogatás szorzat tényezői'!$C$2*'Támogatás szorzat tényezői'!$C$3*N59*P59</f>
        <v>1026000</v>
      </c>
      <c r="R59" s="192">
        <f>'Támogatás szorzat tényezői'!$C$2*'Támogatás szorzat tényezői'!$C$3*P59</f>
        <v>513000</v>
      </c>
    </row>
    <row r="60" spans="1:18" x14ac:dyDescent="0.25">
      <c r="A60" s="178">
        <v>78</v>
      </c>
      <c r="B60" s="177" t="s">
        <v>1334</v>
      </c>
      <c r="C60" s="178" t="s">
        <v>1301</v>
      </c>
      <c r="D60" s="178">
        <v>5</v>
      </c>
      <c r="E60" s="178">
        <v>715</v>
      </c>
      <c r="F60" s="178">
        <v>10</v>
      </c>
      <c r="G60" s="178">
        <v>6</v>
      </c>
      <c r="H60" s="178" t="str">
        <f t="shared" si="4"/>
        <v>0715</v>
      </c>
      <c r="I60" s="178">
        <f t="shared" si="5"/>
        <v>10</v>
      </c>
      <c r="J60" s="178" t="str">
        <f t="shared" si="6"/>
        <v>06</v>
      </c>
      <c r="K60" s="178" t="str">
        <f t="shared" si="7"/>
        <v>5 0715 10 06</v>
      </c>
      <c r="L60" s="177" t="s">
        <v>1334</v>
      </c>
      <c r="M60" s="178">
        <v>5</v>
      </c>
      <c r="N60" s="178">
        <v>2</v>
      </c>
      <c r="O60" s="178">
        <v>6</v>
      </c>
      <c r="P60" s="191">
        <f>IF(D60=4,VLOOKUP(C60,Szakmaszorzók!$B$2:$D$25,2,0),VLOOKUP(C60,Szakmaszorzók!$B$2:$D$25,3,0))</f>
        <v>2.85</v>
      </c>
      <c r="Q60" s="192">
        <f>'Támogatás szorzat tényezői'!$C$2*'Támogatás szorzat tényezői'!$C$3*N60*P60</f>
        <v>1026000</v>
      </c>
      <c r="R60" s="192">
        <f>'Támogatás szorzat tényezői'!$C$2*'Támogatás szorzat tényezői'!$C$3*P60</f>
        <v>513000</v>
      </c>
    </row>
    <row r="61" spans="1:18" x14ac:dyDescent="0.25">
      <c r="A61" s="178">
        <v>79</v>
      </c>
      <c r="B61" s="177" t="s">
        <v>1335</v>
      </c>
      <c r="C61" s="178" t="s">
        <v>1301</v>
      </c>
      <c r="D61" s="178">
        <v>4</v>
      </c>
      <c r="E61" s="178">
        <v>715</v>
      </c>
      <c r="F61" s="178">
        <v>10</v>
      </c>
      <c r="G61" s="178">
        <v>7</v>
      </c>
      <c r="H61" s="178" t="str">
        <f t="shared" si="4"/>
        <v>0715</v>
      </c>
      <c r="I61" s="178">
        <f t="shared" si="5"/>
        <v>10</v>
      </c>
      <c r="J61" s="178" t="str">
        <f t="shared" si="6"/>
        <v>07</v>
      </c>
      <c r="K61" s="178" t="str">
        <f t="shared" si="7"/>
        <v>4 0715 10 07</v>
      </c>
      <c r="L61" s="177" t="s">
        <v>1335</v>
      </c>
      <c r="M61" s="178">
        <v>3</v>
      </c>
      <c r="N61" s="178">
        <v>2</v>
      </c>
      <c r="O61" s="178">
        <v>5</v>
      </c>
      <c r="P61" s="191">
        <f>IF(D61=4,VLOOKUP(C61,Szakmaszorzók!$B$2:$D$25,2,0),VLOOKUP(C61,Szakmaszorzók!$B$2:$D$25,3,0))</f>
        <v>2.42</v>
      </c>
      <c r="Q61" s="192">
        <f>'Támogatás szorzat tényezői'!$C$2*'Támogatás szorzat tényezői'!$C$3*N61*P61</f>
        <v>871200</v>
      </c>
      <c r="R61" s="192">
        <f>'Támogatás szorzat tényezői'!$C$2*'Támogatás szorzat tényezői'!$C$3*P61</f>
        <v>435600</v>
      </c>
    </row>
    <row r="62" spans="1:18" x14ac:dyDescent="0.25">
      <c r="A62" s="178">
        <v>140</v>
      </c>
      <c r="B62" s="177" t="s">
        <v>139</v>
      </c>
      <c r="C62" s="178" t="s">
        <v>1287</v>
      </c>
      <c r="D62" s="178">
        <v>4</v>
      </c>
      <c r="E62" s="178">
        <v>716</v>
      </c>
      <c r="F62" s="178">
        <v>19</v>
      </c>
      <c r="G62" s="178">
        <v>5</v>
      </c>
      <c r="H62" s="178" t="str">
        <f t="shared" si="4"/>
        <v>0716</v>
      </c>
      <c r="I62" s="178">
        <f t="shared" si="5"/>
        <v>19</v>
      </c>
      <c r="J62" s="178" t="str">
        <f t="shared" si="6"/>
        <v>05</v>
      </c>
      <c r="K62" s="178" t="str">
        <f t="shared" si="7"/>
        <v>4 0716 19 05</v>
      </c>
      <c r="L62" s="177" t="s">
        <v>139</v>
      </c>
      <c r="M62" s="178">
        <v>3</v>
      </c>
      <c r="N62" s="178">
        <v>2</v>
      </c>
      <c r="O62" s="178">
        <v>5</v>
      </c>
      <c r="P62" s="191">
        <f>IF(D62=4,VLOOKUP(C62,Szakmaszorzók!$B$2:$D$25,2,0),VLOOKUP(C62,Szakmaszorzók!$B$2:$D$25,3,0))</f>
        <v>2.85</v>
      </c>
      <c r="Q62" s="192">
        <f>'Támogatás szorzat tényezői'!$C$2*'Támogatás szorzat tényezői'!$C$3*N62*P62</f>
        <v>1026000</v>
      </c>
      <c r="R62" s="192">
        <f>'Támogatás szorzat tényezői'!$C$2*'Támogatás szorzat tényezői'!$C$3*P62</f>
        <v>513000</v>
      </c>
    </row>
    <row r="63" spans="1:18" x14ac:dyDescent="0.25">
      <c r="A63" s="178">
        <v>139</v>
      </c>
      <c r="B63" s="177" t="s">
        <v>1336</v>
      </c>
      <c r="C63" s="178" t="s">
        <v>1287</v>
      </c>
      <c r="D63" s="178">
        <v>5</v>
      </c>
      <c r="E63" s="178">
        <v>716</v>
      </c>
      <c r="F63" s="178">
        <v>19</v>
      </c>
      <c r="G63" s="178">
        <v>4</v>
      </c>
      <c r="H63" s="178" t="str">
        <f t="shared" si="4"/>
        <v>0716</v>
      </c>
      <c r="I63" s="178">
        <f t="shared" si="5"/>
        <v>19</v>
      </c>
      <c r="J63" s="178" t="str">
        <f t="shared" si="6"/>
        <v>04</v>
      </c>
      <c r="K63" s="178" t="str">
        <f t="shared" si="7"/>
        <v>5 0716 19 04</v>
      </c>
      <c r="L63" s="177" t="s">
        <v>1336</v>
      </c>
      <c r="M63" s="178">
        <v>5</v>
      </c>
      <c r="N63" s="178">
        <v>2</v>
      </c>
      <c r="O63" s="178">
        <v>6</v>
      </c>
      <c r="P63" s="191">
        <f>IF(D63=4,VLOOKUP(C63,Szakmaszorzók!$B$2:$D$25,2,0),VLOOKUP(C63,Szakmaszorzók!$B$2:$D$25,3,0))</f>
        <v>2.85</v>
      </c>
      <c r="Q63" s="192">
        <f>'Támogatás szorzat tényezői'!$C$2*'Támogatás szorzat tényezői'!$C$3*N63*P63</f>
        <v>1026000</v>
      </c>
      <c r="R63" s="192">
        <f>'Támogatás szorzat tényezői'!$C$2*'Támogatás szorzat tényezői'!$C$3*P63</f>
        <v>513000</v>
      </c>
    </row>
    <row r="64" spans="1:18" x14ac:dyDescent="0.25">
      <c r="A64" s="178">
        <v>118</v>
      </c>
      <c r="B64" s="177" t="s">
        <v>144</v>
      </c>
      <c r="C64" s="178" t="s">
        <v>1298</v>
      </c>
      <c r="D64" s="178">
        <v>5</v>
      </c>
      <c r="E64" s="178">
        <v>213</v>
      </c>
      <c r="F64" s="178">
        <v>16</v>
      </c>
      <c r="G64" s="178">
        <v>9</v>
      </c>
      <c r="H64" s="178" t="str">
        <f t="shared" si="4"/>
        <v>0213</v>
      </c>
      <c r="I64" s="178">
        <f t="shared" si="5"/>
        <v>16</v>
      </c>
      <c r="J64" s="178" t="str">
        <f t="shared" si="6"/>
        <v>09</v>
      </c>
      <c r="K64" s="178" t="str">
        <f t="shared" si="7"/>
        <v>5 0213 16 09</v>
      </c>
      <c r="L64" s="177" t="s">
        <v>144</v>
      </c>
      <c r="M64" s="178">
        <v>5</v>
      </c>
      <c r="N64" s="178">
        <v>2</v>
      </c>
      <c r="O64" s="178">
        <v>5</v>
      </c>
      <c r="P64" s="191">
        <f>IF(D64=4,VLOOKUP(C64,Szakmaszorzók!$B$2:$D$25,2,0),VLOOKUP(C64,Szakmaszorzók!$B$2:$D$25,3,0))</f>
        <v>2.42</v>
      </c>
      <c r="Q64" s="192">
        <f>'Támogatás szorzat tényezői'!$C$2*'Támogatás szorzat tényezői'!$C$3*N64*P64</f>
        <v>871200</v>
      </c>
      <c r="R64" s="192">
        <f>'Támogatás szorzat tényezői'!$C$2*'Támogatás szorzat tényezői'!$C$3*P64</f>
        <v>435600</v>
      </c>
    </row>
    <row r="65" spans="1:18" x14ac:dyDescent="0.25">
      <c r="A65" s="178">
        <v>169</v>
      </c>
      <c r="B65" s="177" t="s">
        <v>145</v>
      </c>
      <c r="C65" s="178" t="s">
        <v>1280</v>
      </c>
      <c r="D65" s="178">
        <v>5</v>
      </c>
      <c r="E65" s="178">
        <v>722</v>
      </c>
      <c r="F65" s="178">
        <v>24</v>
      </c>
      <c r="G65" s="178">
        <v>2</v>
      </c>
      <c r="H65" s="178" t="str">
        <f t="shared" si="4"/>
        <v>0722</v>
      </c>
      <c r="I65" s="178">
        <f t="shared" si="5"/>
        <v>24</v>
      </c>
      <c r="J65" s="178" t="str">
        <f t="shared" si="6"/>
        <v>02</v>
      </c>
      <c r="K65" s="178" t="str">
        <f t="shared" si="7"/>
        <v>5 0722 24 02</v>
      </c>
      <c r="L65" s="177" t="s">
        <v>145</v>
      </c>
      <c r="M65" s="178">
        <v>5</v>
      </c>
      <c r="N65" s="178">
        <v>2</v>
      </c>
      <c r="O65" s="178">
        <v>6</v>
      </c>
      <c r="P65" s="191">
        <f>IF(D65=4,VLOOKUP(C65,Szakmaszorzók!$B$2:$D$25,2,0),VLOOKUP(C65,Szakmaszorzók!$B$2:$D$25,3,0))</f>
        <v>2.85</v>
      </c>
      <c r="Q65" s="192">
        <f>'Támogatás szorzat tényezői'!$C$2*'Támogatás szorzat tényezői'!$C$3*N65*P65</f>
        <v>1026000</v>
      </c>
      <c r="R65" s="192">
        <f>'Támogatás szorzat tényezői'!$C$2*'Támogatás szorzat tényezői'!$C$3*P65</f>
        <v>513000</v>
      </c>
    </row>
    <row r="66" spans="1:18" x14ac:dyDescent="0.25">
      <c r="A66" s="178">
        <v>16</v>
      </c>
      <c r="B66" s="177" t="s">
        <v>148</v>
      </c>
      <c r="C66" s="178" t="s">
        <v>1285</v>
      </c>
      <c r="D66" s="178">
        <v>5</v>
      </c>
      <c r="E66" s="178">
        <v>913</v>
      </c>
      <c r="F66" s="178">
        <v>3</v>
      </c>
      <c r="G66" s="178">
        <v>4</v>
      </c>
      <c r="H66" s="178" t="str">
        <f t="shared" si="4"/>
        <v>0913</v>
      </c>
      <c r="I66" s="178" t="str">
        <f t="shared" si="5"/>
        <v>03</v>
      </c>
      <c r="J66" s="178" t="str">
        <f t="shared" si="6"/>
        <v>04</v>
      </c>
      <c r="K66" s="178" t="str">
        <f t="shared" si="7"/>
        <v>5 0913 03 04</v>
      </c>
      <c r="L66" s="177" t="s">
        <v>148</v>
      </c>
      <c r="M66" s="178">
        <v>5</v>
      </c>
      <c r="N66" s="178">
        <v>2</v>
      </c>
      <c r="O66" s="178">
        <v>5</v>
      </c>
      <c r="P66" s="191">
        <f>IF(D66=4,VLOOKUP(C66,Szakmaszorzók!$B$2:$D$25,2,0),VLOOKUP(C66,Szakmaszorzók!$B$2:$D$25,3,0))</f>
        <v>2.2000000000000002</v>
      </c>
      <c r="Q66" s="192">
        <f>'Támogatás szorzat tényezői'!$C$2*'Támogatás szorzat tényezői'!$C$3*N66*P66</f>
        <v>792000.00000000012</v>
      </c>
      <c r="R66" s="192">
        <f>'Támogatás szorzat tényezői'!$C$2*'Támogatás szorzat tényezői'!$C$3*P66</f>
        <v>396000.00000000006</v>
      </c>
    </row>
    <row r="67" spans="1:18" x14ac:dyDescent="0.25">
      <c r="A67" s="178">
        <v>141</v>
      </c>
      <c r="B67" s="177" t="s">
        <v>153</v>
      </c>
      <c r="C67" s="178" t="s">
        <v>1287</v>
      </c>
      <c r="D67" s="178">
        <v>4</v>
      </c>
      <c r="E67" s="178">
        <v>715</v>
      </c>
      <c r="F67" s="178">
        <v>19</v>
      </c>
      <c r="G67" s="178">
        <v>6</v>
      </c>
      <c r="H67" s="178" t="str">
        <f t="shared" si="4"/>
        <v>0715</v>
      </c>
      <c r="I67" s="178">
        <f t="shared" si="5"/>
        <v>19</v>
      </c>
      <c r="J67" s="178" t="str">
        <f t="shared" si="6"/>
        <v>06</v>
      </c>
      <c r="K67" s="178" t="str">
        <f t="shared" si="7"/>
        <v>4 0715 19 06</v>
      </c>
      <c r="L67" s="177" t="s">
        <v>153</v>
      </c>
      <c r="M67" s="178">
        <v>3</v>
      </c>
      <c r="N67" s="178">
        <v>2</v>
      </c>
      <c r="O67" s="178">
        <v>4</v>
      </c>
      <c r="P67" s="191">
        <f>IF(D67=4,VLOOKUP(C67,Szakmaszorzók!$B$2:$D$25,2,0),VLOOKUP(C67,Szakmaszorzók!$B$2:$D$25,3,0))</f>
        <v>2.85</v>
      </c>
      <c r="Q67" s="192">
        <f>'Támogatás szorzat tényezői'!$C$2*'Támogatás szorzat tényezői'!$C$3*N67*P67</f>
        <v>1026000</v>
      </c>
      <c r="R67" s="192">
        <f>'Támogatás szorzat tényezői'!$C$2*'Támogatás szorzat tényezői'!$C$3*P67</f>
        <v>513000</v>
      </c>
    </row>
    <row r="68" spans="1:18" x14ac:dyDescent="0.25">
      <c r="A68" s="178">
        <v>154</v>
      </c>
      <c r="B68" s="177" t="s">
        <v>1337</v>
      </c>
      <c r="C68" s="178" t="s">
        <v>1338</v>
      </c>
      <c r="D68" s="178">
        <v>4</v>
      </c>
      <c r="E68" s="178">
        <v>922</v>
      </c>
      <c r="F68" s="178">
        <v>22</v>
      </c>
      <c r="G68" s="178">
        <v>1</v>
      </c>
      <c r="H68" s="178" t="str">
        <f t="shared" si="4"/>
        <v>0922</v>
      </c>
      <c r="I68" s="178">
        <f t="shared" si="5"/>
        <v>22</v>
      </c>
      <c r="J68" s="178" t="str">
        <f t="shared" si="6"/>
        <v>01</v>
      </c>
      <c r="K68" s="178" t="str">
        <f t="shared" si="7"/>
        <v>4 0922 22 01</v>
      </c>
      <c r="L68" s="177" t="s">
        <v>1337</v>
      </c>
      <c r="M68" s="178">
        <v>3</v>
      </c>
      <c r="N68" s="178">
        <v>2</v>
      </c>
      <c r="O68" s="178">
        <v>3</v>
      </c>
      <c r="P68" s="191">
        <f>IF(D68=4,VLOOKUP(C68,Szakmaszorzók!$B$2:$D$25,2,0),VLOOKUP(C68,Szakmaszorzók!$B$2:$D$25,3,0))</f>
        <v>2.2000000000000002</v>
      </c>
      <c r="Q68" s="192">
        <f>'Támogatás szorzat tényezői'!$C$2*'Támogatás szorzat tényezői'!$C$3*N68*P68</f>
        <v>792000.00000000012</v>
      </c>
      <c r="R68" s="192">
        <f>'Támogatás szorzat tényezői'!$C$2*'Támogatás szorzat tényezői'!$C$3*P68</f>
        <v>396000.00000000006</v>
      </c>
    </row>
    <row r="69" spans="1:18" x14ac:dyDescent="0.25">
      <c r="A69" s="178">
        <v>170</v>
      </c>
      <c r="B69" s="177" t="s">
        <v>1984</v>
      </c>
      <c r="C69" s="178" t="s">
        <v>1280</v>
      </c>
      <c r="D69" s="178">
        <v>4</v>
      </c>
      <c r="E69" s="178">
        <v>711</v>
      </c>
      <c r="F69" s="178">
        <v>24</v>
      </c>
      <c r="G69" s="178">
        <v>3</v>
      </c>
      <c r="H69" s="178" t="str">
        <f t="shared" si="4"/>
        <v>0711</v>
      </c>
      <c r="I69" s="178">
        <f t="shared" si="5"/>
        <v>24</v>
      </c>
      <c r="J69" s="178" t="str">
        <f t="shared" si="6"/>
        <v>03</v>
      </c>
      <c r="K69" s="178" t="str">
        <f t="shared" si="7"/>
        <v>4 0711 24 03</v>
      </c>
      <c r="L69" s="177" t="s">
        <v>1984</v>
      </c>
      <c r="M69" s="178">
        <v>3</v>
      </c>
      <c r="N69" s="178">
        <v>2</v>
      </c>
      <c r="O69" s="178">
        <v>5</v>
      </c>
      <c r="P69" s="191">
        <f>IF(D69=4,VLOOKUP(C69,Szakmaszorzók!$B$2:$D$25,2,0),VLOOKUP(C69,Szakmaszorzók!$B$2:$D$25,3,0))</f>
        <v>2.42</v>
      </c>
      <c r="Q69" s="192">
        <f>'Támogatás szorzat tényezői'!$C$2*'Támogatás szorzat tényezői'!$C$3*N69*P69</f>
        <v>871200</v>
      </c>
      <c r="R69" s="192">
        <f>'Támogatás szorzat tényezői'!$C$2*'Támogatás szorzat tényezői'!$C$3*P69</f>
        <v>435600</v>
      </c>
    </row>
    <row r="70" spans="1:18" x14ac:dyDescent="0.25">
      <c r="A70" s="178">
        <v>102</v>
      </c>
      <c r="B70" s="177" t="s">
        <v>160</v>
      </c>
      <c r="C70" s="178" t="s">
        <v>1340</v>
      </c>
      <c r="D70" s="178">
        <v>5</v>
      </c>
      <c r="E70" s="178">
        <v>1041</v>
      </c>
      <c r="F70" s="178">
        <v>15</v>
      </c>
      <c r="G70" s="178">
        <v>1</v>
      </c>
      <c r="H70" s="178">
        <f t="shared" si="4"/>
        <v>1041</v>
      </c>
      <c r="I70" s="178">
        <f t="shared" si="5"/>
        <v>15</v>
      </c>
      <c r="J70" s="178" t="str">
        <f t="shared" si="6"/>
        <v>01</v>
      </c>
      <c r="K70" s="178" t="str">
        <f t="shared" si="7"/>
        <v>5 1041 15 01</v>
      </c>
      <c r="L70" s="177" t="s">
        <v>160</v>
      </c>
      <c r="M70" s="178">
        <v>5</v>
      </c>
      <c r="N70" s="178">
        <v>2</v>
      </c>
      <c r="O70" s="178">
        <v>5</v>
      </c>
      <c r="P70" s="191">
        <f>IF(D70=4,VLOOKUP(C70,Szakmaszorzók!$B$2:$D$25,2,0),VLOOKUP(C70,Szakmaszorzók!$B$2:$D$25,3,0))</f>
        <v>2.2000000000000002</v>
      </c>
      <c r="Q70" s="192">
        <f>'Támogatás szorzat tényezői'!$C$2*'Támogatás szorzat tényezői'!$C$3*N70*P70</f>
        <v>792000.00000000012</v>
      </c>
      <c r="R70" s="192">
        <f>'Támogatás szorzat tényezői'!$C$2*'Támogatás szorzat tényezői'!$C$3*P70</f>
        <v>396000.00000000006</v>
      </c>
    </row>
    <row r="71" spans="1:18" x14ac:dyDescent="0.25">
      <c r="A71" s="178">
        <v>122</v>
      </c>
      <c r="B71" s="177" t="s">
        <v>1341</v>
      </c>
      <c r="C71" s="178" t="s">
        <v>1298</v>
      </c>
      <c r="D71" s="178">
        <v>5</v>
      </c>
      <c r="E71" s="178">
        <v>211</v>
      </c>
      <c r="F71" s="178">
        <v>16</v>
      </c>
      <c r="G71" s="178">
        <v>13</v>
      </c>
      <c r="H71" s="178" t="str">
        <f t="shared" ref="H71:H102" si="8">IF(E71&lt;1000,"0"&amp;E71,E71)</f>
        <v>0211</v>
      </c>
      <c r="I71" s="178">
        <f t="shared" ref="I71:I102" si="9">IF(F71&lt;10,"0"&amp;F71,F71)</f>
        <v>16</v>
      </c>
      <c r="J71" s="178">
        <f t="shared" ref="J71:J102" si="10">IF(G71&lt;10,"0"&amp;G71,G71)</f>
        <v>13</v>
      </c>
      <c r="K71" s="178" t="str">
        <f t="shared" ref="K71:K102" si="11">D71&amp;" "&amp;H71&amp;" "&amp;I71&amp;" "&amp;J71</f>
        <v>5 0211 16 13</v>
      </c>
      <c r="L71" s="177" t="s">
        <v>1341</v>
      </c>
      <c r="M71" s="178">
        <v>5</v>
      </c>
      <c r="N71" s="178">
        <v>2</v>
      </c>
      <c r="O71" s="178">
        <v>5</v>
      </c>
      <c r="P71" s="191">
        <f>IF(D71=4,VLOOKUP(C71,Szakmaszorzók!$B$2:$D$25,2,0),VLOOKUP(C71,Szakmaszorzók!$B$2:$D$25,3,0))</f>
        <v>2.42</v>
      </c>
      <c r="Q71" s="192">
        <f>'Támogatás szorzat tényezői'!$C$2*'Támogatás szorzat tényezői'!$C$3*N71*P71</f>
        <v>871200</v>
      </c>
      <c r="R71" s="192">
        <f>'Támogatás szorzat tényezői'!$C$2*'Támogatás szorzat tényezői'!$C$3*P71</f>
        <v>435600</v>
      </c>
    </row>
    <row r="72" spans="1:18" x14ac:dyDescent="0.25">
      <c r="A72" s="178">
        <v>80</v>
      </c>
      <c r="B72" s="177" t="s">
        <v>163</v>
      </c>
      <c r="C72" s="178" t="s">
        <v>1301</v>
      </c>
      <c r="D72" s="178">
        <v>4</v>
      </c>
      <c r="E72" s="178">
        <v>715</v>
      </c>
      <c r="F72" s="178">
        <v>10</v>
      </c>
      <c r="G72" s="178">
        <v>8</v>
      </c>
      <c r="H72" s="178" t="str">
        <f t="shared" si="8"/>
        <v>0715</v>
      </c>
      <c r="I72" s="178">
        <f t="shared" si="9"/>
        <v>10</v>
      </c>
      <c r="J72" s="178" t="str">
        <f t="shared" si="10"/>
        <v>08</v>
      </c>
      <c r="K72" s="178" t="str">
        <f t="shared" si="11"/>
        <v>4 0715 10 08</v>
      </c>
      <c r="L72" s="177" t="s">
        <v>163</v>
      </c>
      <c r="M72" s="178">
        <v>3</v>
      </c>
      <c r="N72" s="178">
        <v>2</v>
      </c>
      <c r="O72" s="178">
        <v>4</v>
      </c>
      <c r="P72" s="191">
        <f>IF(D72=4,VLOOKUP(C72,Szakmaszorzók!$B$2:$D$25,2,0),VLOOKUP(C72,Szakmaszorzók!$B$2:$D$25,3,0))</f>
        <v>2.42</v>
      </c>
      <c r="Q72" s="192">
        <f>'Támogatás szorzat tényezői'!$C$2*'Támogatás szorzat tényezői'!$C$3*N72*P72</f>
        <v>871200</v>
      </c>
      <c r="R72" s="192">
        <f>'Támogatás szorzat tényezői'!$C$2*'Támogatás szorzat tényezői'!$C$3*P72</f>
        <v>435600</v>
      </c>
    </row>
    <row r="73" spans="1:18" x14ac:dyDescent="0.25">
      <c r="A73" s="178">
        <v>37</v>
      </c>
      <c r="B73" s="177" t="s">
        <v>1343</v>
      </c>
      <c r="C73" s="178" t="s">
        <v>1296</v>
      </c>
      <c r="D73" s="178">
        <v>4</v>
      </c>
      <c r="E73" s="178">
        <v>721</v>
      </c>
      <c r="F73" s="178">
        <v>5</v>
      </c>
      <c r="G73" s="178">
        <v>8</v>
      </c>
      <c r="H73" s="178" t="str">
        <f t="shared" si="8"/>
        <v>0721</v>
      </c>
      <c r="I73" s="178" t="str">
        <f t="shared" si="9"/>
        <v>05</v>
      </c>
      <c r="J73" s="178" t="str">
        <f t="shared" si="10"/>
        <v>08</v>
      </c>
      <c r="K73" s="178" t="str">
        <f t="shared" si="11"/>
        <v>4 0721 05 08</v>
      </c>
      <c r="L73" s="177" t="s">
        <v>1343</v>
      </c>
      <c r="M73" s="178">
        <v>3</v>
      </c>
      <c r="N73" s="178">
        <v>2</v>
      </c>
      <c r="O73" s="178">
        <v>4</v>
      </c>
      <c r="P73" s="191">
        <f>IF(D73=4,VLOOKUP(C73,Szakmaszorzók!$B$2:$D$25,2,0),VLOOKUP(C73,Szakmaszorzók!$B$2:$D$25,3,0))</f>
        <v>2.2000000000000002</v>
      </c>
      <c r="Q73" s="192">
        <f>'Támogatás szorzat tényezői'!$C$2*'Támogatás szorzat tényezői'!$C$3*N73*P73</f>
        <v>792000.00000000012</v>
      </c>
      <c r="R73" s="192">
        <f>'Támogatás szorzat tényezői'!$C$2*'Támogatás szorzat tényezői'!$C$3*P73</f>
        <v>396000.00000000006</v>
      </c>
    </row>
    <row r="74" spans="1:18" x14ac:dyDescent="0.25">
      <c r="A74" s="178" t="s">
        <v>3205</v>
      </c>
      <c r="B74" s="177" t="s">
        <v>3208</v>
      </c>
      <c r="C74" s="178" t="s">
        <v>1287</v>
      </c>
      <c r="D74" s="178">
        <v>4</v>
      </c>
      <c r="E74" s="178">
        <v>716</v>
      </c>
      <c r="F74" s="178">
        <v>19</v>
      </c>
      <c r="G74" s="178">
        <v>14</v>
      </c>
      <c r="H74" s="178" t="str">
        <f t="shared" si="8"/>
        <v>0716</v>
      </c>
      <c r="I74" s="178">
        <f t="shared" si="9"/>
        <v>19</v>
      </c>
      <c r="J74" s="178">
        <f t="shared" si="10"/>
        <v>14</v>
      </c>
      <c r="K74" s="178" t="str">
        <f t="shared" si="11"/>
        <v>4 0716 19 14</v>
      </c>
      <c r="L74" s="177" t="s">
        <v>3208</v>
      </c>
      <c r="M74" s="178">
        <v>3</v>
      </c>
      <c r="N74" s="178">
        <v>2</v>
      </c>
      <c r="O74" s="178">
        <v>4</v>
      </c>
      <c r="P74" s="191">
        <f>IF(D74=4,VLOOKUP(C74,Szakmaszorzók!$B$2:$D$25,2,0),VLOOKUP(C74,Szakmaszorzók!$B$2:$D$25,3,0))</f>
        <v>2.85</v>
      </c>
      <c r="Q74" s="192">
        <f>'Támogatás szorzat tényezői'!$C$2*'Támogatás szorzat tényezői'!$C$3*N74*P74</f>
        <v>1026000</v>
      </c>
      <c r="R74" s="192">
        <f>'Támogatás szorzat tényezői'!$C$2*'Támogatás szorzat tényezői'!$C$3*P74</f>
        <v>513000</v>
      </c>
    </row>
    <row r="75" spans="1:18" x14ac:dyDescent="0.25">
      <c r="A75" s="178">
        <v>53</v>
      </c>
      <c r="B75" s="177" t="s">
        <v>164</v>
      </c>
      <c r="C75" s="178" t="s">
        <v>1282</v>
      </c>
      <c r="D75" s="178">
        <v>5</v>
      </c>
      <c r="E75" s="178">
        <v>732</v>
      </c>
      <c r="F75" s="178">
        <v>6</v>
      </c>
      <c r="G75" s="178">
        <v>6</v>
      </c>
      <c r="H75" s="178" t="str">
        <f t="shared" si="8"/>
        <v>0732</v>
      </c>
      <c r="I75" s="178" t="str">
        <f t="shared" si="9"/>
        <v>06</v>
      </c>
      <c r="J75" s="178" t="str">
        <f t="shared" si="10"/>
        <v>06</v>
      </c>
      <c r="K75" s="178" t="str">
        <f t="shared" si="11"/>
        <v>5 0732 06 06</v>
      </c>
      <c r="L75" s="177" t="s">
        <v>164</v>
      </c>
      <c r="M75" s="178">
        <v>5</v>
      </c>
      <c r="N75" s="178">
        <v>2</v>
      </c>
      <c r="O75" s="178">
        <v>5</v>
      </c>
      <c r="P75" s="191">
        <f>IF(D75=4,VLOOKUP(C75,Szakmaszorzók!$B$2:$D$25,2,0),VLOOKUP(C75,Szakmaszorzók!$B$2:$D$25,3,0))</f>
        <v>2.42</v>
      </c>
      <c r="Q75" s="192">
        <f>'Támogatás szorzat tényezői'!$C$2*'Támogatás szorzat tényezői'!$C$3*N75*P75</f>
        <v>871200</v>
      </c>
      <c r="R75" s="192">
        <f>'Támogatás szorzat tényezői'!$C$2*'Támogatás szorzat tényezői'!$C$3*P75</f>
        <v>435600</v>
      </c>
    </row>
    <row r="76" spans="1:18" x14ac:dyDescent="0.25">
      <c r="A76" s="178">
        <v>89</v>
      </c>
      <c r="B76" s="177" t="s">
        <v>1344</v>
      </c>
      <c r="C76" s="178" t="s">
        <v>1321</v>
      </c>
      <c r="D76" s="178">
        <v>5</v>
      </c>
      <c r="E76" s="178">
        <v>1031</v>
      </c>
      <c r="F76" s="178">
        <v>11</v>
      </c>
      <c r="G76" s="178">
        <v>4</v>
      </c>
      <c r="H76" s="178">
        <f t="shared" si="8"/>
        <v>1031</v>
      </c>
      <c r="I76" s="178">
        <f t="shared" si="9"/>
        <v>11</v>
      </c>
      <c r="J76" s="178" t="str">
        <f t="shared" si="10"/>
        <v>04</v>
      </c>
      <c r="K76" s="178" t="str">
        <f t="shared" si="11"/>
        <v>5 1031 11 04</v>
      </c>
      <c r="L76" s="177" t="s">
        <v>1344</v>
      </c>
      <c r="M76" s="178" t="s">
        <v>374</v>
      </c>
      <c r="N76" s="178">
        <v>2</v>
      </c>
      <c r="O76" s="178">
        <v>6</v>
      </c>
      <c r="P76" s="191">
        <f>IF(D76=4,VLOOKUP(C76,Szakmaszorzók!$B$2:$D$25,2,0),VLOOKUP(C76,Szakmaszorzók!$B$2:$D$25,3,0))</f>
        <v>2.85</v>
      </c>
      <c r="Q76" s="192">
        <f>'Támogatás szorzat tényezői'!$C$2*'Támogatás szorzat tényezői'!$C$3*N76*P76</f>
        <v>1026000</v>
      </c>
      <c r="R76" s="192">
        <f>'Támogatás szorzat tényezői'!$C$2*'Támogatás szorzat tényezői'!$C$3*P76</f>
        <v>513000</v>
      </c>
    </row>
    <row r="77" spans="1:18" x14ac:dyDescent="0.25">
      <c r="A77" s="178">
        <v>90</v>
      </c>
      <c r="B77" s="177" t="s">
        <v>1345</v>
      </c>
      <c r="C77" s="178" t="s">
        <v>1321</v>
      </c>
      <c r="D77" s="178">
        <v>5</v>
      </c>
      <c r="E77" s="178">
        <v>1031</v>
      </c>
      <c r="F77" s="178">
        <v>11</v>
      </c>
      <c r="G77" s="178">
        <v>5</v>
      </c>
      <c r="H77" s="178">
        <f t="shared" si="8"/>
        <v>1031</v>
      </c>
      <c r="I77" s="178">
        <f t="shared" si="9"/>
        <v>11</v>
      </c>
      <c r="J77" s="178" t="str">
        <f t="shared" si="10"/>
        <v>05</v>
      </c>
      <c r="K77" s="178" t="str">
        <f t="shared" si="11"/>
        <v>5 1031 11 05</v>
      </c>
      <c r="L77" s="177" t="s">
        <v>1345</v>
      </c>
      <c r="M77" s="178">
        <v>5</v>
      </c>
      <c r="N77" s="178">
        <v>2</v>
      </c>
      <c r="O77" s="178">
        <v>7</v>
      </c>
      <c r="P77" s="191">
        <f>IF(D77=4,VLOOKUP(C77,Szakmaszorzók!$B$2:$D$25,2,0),VLOOKUP(C77,Szakmaszorzók!$B$2:$D$25,3,0))</f>
        <v>2.85</v>
      </c>
      <c r="Q77" s="192">
        <f>'Támogatás szorzat tényezői'!$C$2*'Támogatás szorzat tényezői'!$C$3*N77*P77</f>
        <v>1026000</v>
      </c>
      <c r="R77" s="192">
        <f>'Támogatás szorzat tényezői'!$C$2*'Támogatás szorzat tényezői'!$C$3*P77</f>
        <v>513000</v>
      </c>
    </row>
    <row r="78" spans="1:18" x14ac:dyDescent="0.25">
      <c r="A78" s="178">
        <v>98</v>
      </c>
      <c r="B78" s="177" t="s">
        <v>1346</v>
      </c>
      <c r="C78" s="178" t="s">
        <v>1347</v>
      </c>
      <c r="D78" s="178">
        <v>4</v>
      </c>
      <c r="E78" s="178">
        <v>712</v>
      </c>
      <c r="F78" s="178">
        <v>14</v>
      </c>
      <c r="G78" s="178">
        <v>1</v>
      </c>
      <c r="H78" s="178" t="str">
        <f t="shared" si="8"/>
        <v>0712</v>
      </c>
      <c r="I78" s="178">
        <f t="shared" si="9"/>
        <v>14</v>
      </c>
      <c r="J78" s="178" t="str">
        <f t="shared" si="10"/>
        <v>01</v>
      </c>
      <c r="K78" s="178" t="str">
        <f t="shared" si="11"/>
        <v>4 0712 14 01</v>
      </c>
      <c r="L78" s="177" t="s">
        <v>1346</v>
      </c>
      <c r="M78" s="178">
        <v>3</v>
      </c>
      <c r="N78" s="178">
        <v>2</v>
      </c>
      <c r="O78" s="178">
        <v>4</v>
      </c>
      <c r="P78" s="191">
        <f>IF(D78=4,VLOOKUP(C78,Szakmaszorzók!$B$2:$D$25,2,0),VLOOKUP(C78,Szakmaszorzók!$B$2:$D$25,3,0))</f>
        <v>2.42</v>
      </c>
      <c r="Q78" s="192">
        <f>'Támogatás szorzat tényezői'!$C$2*'Támogatás szorzat tényezői'!$C$3*N78*P78</f>
        <v>871200</v>
      </c>
      <c r="R78" s="192">
        <f>'Támogatás szorzat tényezői'!$C$2*'Támogatás szorzat tényezői'!$C$3*P78</f>
        <v>435600</v>
      </c>
    </row>
    <row r="79" spans="1:18" x14ac:dyDescent="0.25">
      <c r="A79" s="178">
        <v>38</v>
      </c>
      <c r="B79" s="177" t="s">
        <v>1348</v>
      </c>
      <c r="C79" s="178" t="s">
        <v>1296</v>
      </c>
      <c r="D79" s="178">
        <v>5</v>
      </c>
      <c r="E79" s="178">
        <v>721</v>
      </c>
      <c r="F79" s="178">
        <v>5</v>
      </c>
      <c r="G79" s="178">
        <v>9</v>
      </c>
      <c r="H79" s="178" t="str">
        <f t="shared" si="8"/>
        <v>0721</v>
      </c>
      <c r="I79" s="178" t="str">
        <f t="shared" si="9"/>
        <v>05</v>
      </c>
      <c r="J79" s="178" t="str">
        <f t="shared" si="10"/>
        <v>09</v>
      </c>
      <c r="K79" s="178" t="str">
        <f t="shared" si="11"/>
        <v>5 0721 05 09</v>
      </c>
      <c r="L79" s="177" t="s">
        <v>1348</v>
      </c>
      <c r="M79" s="178">
        <v>5</v>
      </c>
      <c r="N79" s="178">
        <v>2</v>
      </c>
      <c r="O79" s="178">
        <v>6</v>
      </c>
      <c r="P79" s="191">
        <f>IF(D79=4,VLOOKUP(C79,Szakmaszorzók!$B$2:$D$25,2,0),VLOOKUP(C79,Szakmaszorzók!$B$2:$D$25,3,0))</f>
        <v>2.2000000000000002</v>
      </c>
      <c r="Q79" s="192">
        <f>'Támogatás szorzat tényezői'!$C$2*'Támogatás szorzat tényezői'!$C$3*N79*P79</f>
        <v>792000.00000000012</v>
      </c>
      <c r="R79" s="192">
        <f>'Támogatás szorzat tényezői'!$C$2*'Támogatás szorzat tényezői'!$C$3*P79</f>
        <v>396000.00000000006</v>
      </c>
    </row>
    <row r="80" spans="1:18" x14ac:dyDescent="0.25">
      <c r="A80" s="178">
        <v>65</v>
      </c>
      <c r="B80" s="177" t="s">
        <v>1349</v>
      </c>
      <c r="C80" s="178" t="s">
        <v>1315</v>
      </c>
      <c r="D80" s="178">
        <v>4</v>
      </c>
      <c r="E80" s="178">
        <v>732</v>
      </c>
      <c r="F80" s="178">
        <v>7</v>
      </c>
      <c r="G80" s="178">
        <v>2</v>
      </c>
      <c r="H80" s="178" t="str">
        <f t="shared" si="8"/>
        <v>0732</v>
      </c>
      <c r="I80" s="178" t="str">
        <f t="shared" si="9"/>
        <v>07</v>
      </c>
      <c r="J80" s="178" t="str">
        <f t="shared" si="10"/>
        <v>02</v>
      </c>
      <c r="K80" s="178" t="str">
        <f t="shared" si="11"/>
        <v>4 0732 07 02</v>
      </c>
      <c r="L80" s="177" t="s">
        <v>1349</v>
      </c>
      <c r="M80" s="178">
        <v>3</v>
      </c>
      <c r="N80" s="178">
        <v>2</v>
      </c>
      <c r="O80" s="178">
        <v>5</v>
      </c>
      <c r="P80" s="191">
        <f>IF(D80=4,VLOOKUP(C80,Szakmaszorzók!$B$2:$D$25,2,0),VLOOKUP(C80,Szakmaszorzók!$B$2:$D$25,3,0))</f>
        <v>2.42</v>
      </c>
      <c r="Q80" s="192">
        <f>'Támogatás szorzat tényezői'!$C$2*'Támogatás szorzat tényezői'!$C$3*N80*P80</f>
        <v>871200</v>
      </c>
      <c r="R80" s="192">
        <f>'Támogatás szorzat tényezői'!$C$2*'Támogatás szorzat tényezői'!$C$3*P80</f>
        <v>435600</v>
      </c>
    </row>
    <row r="81" spans="1:18" x14ac:dyDescent="0.25">
      <c r="A81" s="178">
        <v>95</v>
      </c>
      <c r="B81" s="177" t="s">
        <v>1350</v>
      </c>
      <c r="C81" s="178" t="s">
        <v>1351</v>
      </c>
      <c r="D81" s="178">
        <v>5</v>
      </c>
      <c r="E81" s="178">
        <v>417</v>
      </c>
      <c r="F81" s="178">
        <v>13</v>
      </c>
      <c r="G81" s="178">
        <v>1</v>
      </c>
      <c r="H81" s="178" t="str">
        <f t="shared" si="8"/>
        <v>0417</v>
      </c>
      <c r="I81" s="178">
        <f t="shared" si="9"/>
        <v>13</v>
      </c>
      <c r="J81" s="178" t="str">
        <f t="shared" si="10"/>
        <v>01</v>
      </c>
      <c r="K81" s="178" t="str">
        <f t="shared" si="11"/>
        <v>5 0417 13 01</v>
      </c>
      <c r="L81" s="177" t="s">
        <v>1350</v>
      </c>
      <c r="M81" s="178">
        <v>5</v>
      </c>
      <c r="N81" s="178">
        <v>2</v>
      </c>
      <c r="O81" s="178">
        <v>6</v>
      </c>
      <c r="P81" s="191">
        <f>IF(D81=4,VLOOKUP(C81,Szakmaszorzók!$B$2:$D$25,2,0),VLOOKUP(C81,Szakmaszorzók!$B$2:$D$25,3,0))</f>
        <v>2.2000000000000002</v>
      </c>
      <c r="Q81" s="192">
        <f>'Támogatás szorzat tényezői'!$C$2*'Támogatás szorzat tényezői'!$C$3*N81*P81</f>
        <v>792000.00000000012</v>
      </c>
      <c r="R81" s="192">
        <f>'Támogatás szorzat tényezői'!$C$2*'Támogatás szorzat tényezői'!$C$3*P81</f>
        <v>396000.00000000006</v>
      </c>
    </row>
    <row r="82" spans="1:18" x14ac:dyDescent="0.25">
      <c r="A82" s="178">
        <v>91</v>
      </c>
      <c r="B82" s="177" t="s">
        <v>1352</v>
      </c>
      <c r="C82" s="178" t="s">
        <v>1353</v>
      </c>
      <c r="D82" s="178">
        <v>5</v>
      </c>
      <c r="E82" s="178">
        <v>612</v>
      </c>
      <c r="F82" s="178">
        <v>12</v>
      </c>
      <c r="G82" s="178">
        <v>1</v>
      </c>
      <c r="H82" s="178" t="str">
        <f t="shared" si="8"/>
        <v>0612</v>
      </c>
      <c r="I82" s="178">
        <f t="shared" si="9"/>
        <v>12</v>
      </c>
      <c r="J82" s="178" t="str">
        <f t="shared" si="10"/>
        <v>01</v>
      </c>
      <c r="K82" s="178" t="str">
        <f t="shared" si="11"/>
        <v>5 0612 12 01</v>
      </c>
      <c r="L82" s="177" t="s">
        <v>1352</v>
      </c>
      <c r="M82" s="178">
        <v>5</v>
      </c>
      <c r="N82" s="178">
        <v>2</v>
      </c>
      <c r="O82" s="178">
        <v>8</v>
      </c>
      <c r="P82" s="191">
        <f>IF(D82=4,VLOOKUP(C82,Szakmaszorzók!$B$2:$D$25,2,0),VLOOKUP(C82,Szakmaszorzók!$B$2:$D$25,3,0))</f>
        <v>2.2000000000000002</v>
      </c>
      <c r="Q82" s="192">
        <f>'Támogatás szorzat tényezői'!$C$2*'Támogatás szorzat tényezői'!$C$3*N82*P82</f>
        <v>792000.00000000012</v>
      </c>
      <c r="R82" s="192">
        <f>'Támogatás szorzat tényezői'!$C$2*'Támogatás szorzat tényezői'!$C$3*P82</f>
        <v>396000.00000000006</v>
      </c>
    </row>
    <row r="83" spans="1:18" x14ac:dyDescent="0.25">
      <c r="A83" s="178">
        <v>92</v>
      </c>
      <c r="B83" s="177" t="s">
        <v>1354</v>
      </c>
      <c r="C83" s="178" t="s">
        <v>1353</v>
      </c>
      <c r="D83" s="178">
        <v>5</v>
      </c>
      <c r="E83" s="178">
        <v>612</v>
      </c>
      <c r="F83" s="178">
        <v>12</v>
      </c>
      <c r="G83" s="178">
        <v>2</v>
      </c>
      <c r="H83" s="178" t="str">
        <f t="shared" si="8"/>
        <v>0612</v>
      </c>
      <c r="I83" s="178">
        <f t="shared" si="9"/>
        <v>12</v>
      </c>
      <c r="J83" s="178" t="str">
        <f t="shared" si="10"/>
        <v>02</v>
      </c>
      <c r="K83" s="178" t="str">
        <f t="shared" si="11"/>
        <v>5 0612 12 02</v>
      </c>
      <c r="L83" s="177" t="s">
        <v>1354</v>
      </c>
      <c r="M83" s="178">
        <v>5</v>
      </c>
      <c r="N83" s="178">
        <v>2</v>
      </c>
      <c r="O83" s="178">
        <v>8</v>
      </c>
      <c r="P83" s="191">
        <f>IF(D83=4,VLOOKUP(C83,Szakmaszorzók!$B$2:$D$25,2,0),VLOOKUP(C83,Szakmaszorzók!$B$2:$D$25,3,0))</f>
        <v>2.2000000000000002</v>
      </c>
      <c r="Q83" s="192">
        <f>'Támogatás szorzat tényezői'!$C$2*'Támogatás szorzat tényezői'!$C$3*N83*P83</f>
        <v>792000.00000000012</v>
      </c>
      <c r="R83" s="192">
        <f>'Támogatás szorzat tényezői'!$C$2*'Támogatás szorzat tényezői'!$C$3*P83</f>
        <v>396000.00000000006</v>
      </c>
    </row>
    <row r="84" spans="1:18" x14ac:dyDescent="0.25">
      <c r="A84" s="178">
        <v>81</v>
      </c>
      <c r="B84" s="177" t="s">
        <v>175</v>
      </c>
      <c r="C84" s="178" t="s">
        <v>1301</v>
      </c>
      <c r="D84" s="178">
        <v>4</v>
      </c>
      <c r="E84" s="178">
        <v>715</v>
      </c>
      <c r="F84" s="178">
        <v>10</v>
      </c>
      <c r="G84" s="178">
        <v>9</v>
      </c>
      <c r="H84" s="178" t="str">
        <f t="shared" si="8"/>
        <v>0715</v>
      </c>
      <c r="I84" s="178">
        <f t="shared" si="9"/>
        <v>10</v>
      </c>
      <c r="J84" s="178" t="str">
        <f t="shared" si="10"/>
        <v>09</v>
      </c>
      <c r="K84" s="178" t="str">
        <f t="shared" si="11"/>
        <v>4 0715 10 09</v>
      </c>
      <c r="L84" s="177" t="s">
        <v>175</v>
      </c>
      <c r="M84" s="178">
        <v>3</v>
      </c>
      <c r="N84" s="178">
        <v>2</v>
      </c>
      <c r="O84" s="178">
        <v>5</v>
      </c>
      <c r="P84" s="191">
        <f>IF(D84=4,VLOOKUP(C84,Szakmaszorzók!$B$2:$D$25,2,0),VLOOKUP(C84,Szakmaszorzók!$B$2:$D$25,3,0))</f>
        <v>2.42</v>
      </c>
      <c r="Q84" s="192">
        <f>'Támogatás szorzat tényezői'!$C$2*'Támogatás szorzat tényezői'!$C$3*N84*P84</f>
        <v>871200</v>
      </c>
      <c r="R84" s="192">
        <f>'Támogatás szorzat tényezői'!$C$2*'Támogatás szorzat tényezői'!$C$3*P84</f>
        <v>435600</v>
      </c>
    </row>
    <row r="85" spans="1:18" x14ac:dyDescent="0.25">
      <c r="A85" s="178">
        <v>27</v>
      </c>
      <c r="B85" s="177" t="s">
        <v>1355</v>
      </c>
      <c r="C85" s="178" t="s">
        <v>1290</v>
      </c>
      <c r="D85" s="178">
        <v>5</v>
      </c>
      <c r="E85" s="178">
        <v>714</v>
      </c>
      <c r="F85" s="178">
        <v>4</v>
      </c>
      <c r="G85" s="178">
        <v>5</v>
      </c>
      <c r="H85" s="178" t="str">
        <f t="shared" si="8"/>
        <v>0714</v>
      </c>
      <c r="I85" s="178" t="str">
        <f t="shared" si="9"/>
        <v>04</v>
      </c>
      <c r="J85" s="178" t="str">
        <f t="shared" si="10"/>
        <v>05</v>
      </c>
      <c r="K85" s="178" t="str">
        <f t="shared" si="11"/>
        <v>5 0714 04 05</v>
      </c>
      <c r="L85" s="177" t="s">
        <v>1355</v>
      </c>
      <c r="M85" s="178">
        <v>5</v>
      </c>
      <c r="N85" s="178">
        <v>2</v>
      </c>
      <c r="O85" s="178">
        <v>7</v>
      </c>
      <c r="P85" s="191">
        <f>IF(D85=4,VLOOKUP(C85,Szakmaszorzók!$B$2:$D$25,2,0),VLOOKUP(C85,Szakmaszorzók!$B$2:$D$25,3,0))</f>
        <v>2.85</v>
      </c>
      <c r="Q85" s="192">
        <f>'Támogatás szorzat tényezői'!$C$2*'Támogatás szorzat tényezői'!$C$3*N85*P85</f>
        <v>1026000</v>
      </c>
      <c r="R85" s="192">
        <f>'Támogatás szorzat tényezői'!$C$2*'Támogatás szorzat tényezői'!$C$3*P85</f>
        <v>513000</v>
      </c>
    </row>
    <row r="86" spans="1:18" x14ac:dyDescent="0.25">
      <c r="A86" s="178">
        <v>142</v>
      </c>
      <c r="B86" s="177" t="s">
        <v>1356</v>
      </c>
      <c r="C86" s="178" t="s">
        <v>1287</v>
      </c>
      <c r="D86" s="178">
        <v>5</v>
      </c>
      <c r="E86" s="178">
        <v>715</v>
      </c>
      <c r="F86" s="178">
        <v>19</v>
      </c>
      <c r="G86" s="178">
        <v>7</v>
      </c>
      <c r="H86" s="178" t="str">
        <f t="shared" si="8"/>
        <v>0715</v>
      </c>
      <c r="I86" s="178">
        <f t="shared" si="9"/>
        <v>19</v>
      </c>
      <c r="J86" s="178" t="str">
        <f t="shared" si="10"/>
        <v>07</v>
      </c>
      <c r="K86" s="178" t="str">
        <f t="shared" si="11"/>
        <v>5 0715 19 07</v>
      </c>
      <c r="L86" s="177" t="s">
        <v>1356</v>
      </c>
      <c r="M86" s="178">
        <v>5</v>
      </c>
      <c r="N86" s="178">
        <v>2</v>
      </c>
      <c r="O86" s="178">
        <v>7</v>
      </c>
      <c r="P86" s="191">
        <f>IF(D86=4,VLOOKUP(C86,Szakmaszorzók!$B$2:$D$25,2,0),VLOOKUP(C86,Szakmaszorzók!$B$2:$D$25,3,0))</f>
        <v>2.85</v>
      </c>
      <c r="Q86" s="192">
        <f>'Támogatás szorzat tényezői'!$C$2*'Támogatás szorzat tényezői'!$C$3*N86*P86</f>
        <v>1026000</v>
      </c>
      <c r="R86" s="192">
        <f>'Támogatás szorzat tényezői'!$C$2*'Támogatás szorzat tényezői'!$C$3*P86</f>
        <v>513000</v>
      </c>
    </row>
    <row r="87" spans="1:18" x14ac:dyDescent="0.25">
      <c r="A87" s="178">
        <v>143</v>
      </c>
      <c r="B87" s="177" t="s">
        <v>180</v>
      </c>
      <c r="C87" s="178" t="s">
        <v>1287</v>
      </c>
      <c r="D87" s="178">
        <v>4</v>
      </c>
      <c r="E87" s="178">
        <v>716</v>
      </c>
      <c r="F87" s="178">
        <v>19</v>
      </c>
      <c r="G87" s="178">
        <v>8</v>
      </c>
      <c r="H87" s="178" t="str">
        <f t="shared" si="8"/>
        <v>0716</v>
      </c>
      <c r="I87" s="178">
        <f t="shared" si="9"/>
        <v>19</v>
      </c>
      <c r="J87" s="178" t="str">
        <f t="shared" si="10"/>
        <v>08</v>
      </c>
      <c r="K87" s="178" t="str">
        <f t="shared" si="11"/>
        <v>4 0716 19 08</v>
      </c>
      <c r="L87" s="177" t="s">
        <v>180</v>
      </c>
      <c r="M87" s="178">
        <v>3</v>
      </c>
      <c r="N87" s="178">
        <v>2</v>
      </c>
      <c r="O87" s="178">
        <v>4</v>
      </c>
      <c r="P87" s="191">
        <f>IF(D87=4,VLOOKUP(C87,Szakmaszorzók!$B$2:$D$25,2,0),VLOOKUP(C87,Szakmaszorzók!$B$2:$D$25,3,0))</f>
        <v>2.85</v>
      </c>
      <c r="Q87" s="192">
        <f>'Támogatás szorzat tényezői'!$C$2*'Támogatás szorzat tényezői'!$C$3*N87*P87</f>
        <v>1026000</v>
      </c>
      <c r="R87" s="192">
        <f>'Támogatás szorzat tényezői'!$C$2*'Támogatás szorzat tényezői'!$C$3*P87</f>
        <v>513000</v>
      </c>
    </row>
    <row r="88" spans="1:18" x14ac:dyDescent="0.25">
      <c r="A88" s="178">
        <v>144</v>
      </c>
      <c r="B88" s="177" t="s">
        <v>207</v>
      </c>
      <c r="C88" s="178" t="s">
        <v>1287</v>
      </c>
      <c r="D88" s="178">
        <v>5</v>
      </c>
      <c r="E88" s="178">
        <v>714</v>
      </c>
      <c r="F88" s="178">
        <v>19</v>
      </c>
      <c r="G88" s="178">
        <v>9</v>
      </c>
      <c r="H88" s="178" t="str">
        <f t="shared" si="8"/>
        <v>0714</v>
      </c>
      <c r="I88" s="178">
        <f t="shared" si="9"/>
        <v>19</v>
      </c>
      <c r="J88" s="178" t="str">
        <f t="shared" si="10"/>
        <v>09</v>
      </c>
      <c r="K88" s="178" t="str">
        <f t="shared" si="11"/>
        <v>5 0714 19 09</v>
      </c>
      <c r="L88" s="177" t="s">
        <v>207</v>
      </c>
      <c r="M88" s="178">
        <v>6</v>
      </c>
      <c r="N88" s="178">
        <v>3</v>
      </c>
      <c r="O88" s="178">
        <v>7</v>
      </c>
      <c r="P88" s="191">
        <f>IF(D88=4,VLOOKUP(C88,Szakmaszorzók!$B$2:$D$25,2,0),VLOOKUP(C88,Szakmaszorzók!$B$2:$D$25,3,0))</f>
        <v>2.85</v>
      </c>
      <c r="Q88" s="192">
        <f>'Támogatás szorzat tényezői'!$C$2*'Támogatás szorzat tényezői'!$C$3*N88*P88</f>
        <v>1539000</v>
      </c>
      <c r="R88" s="192">
        <f>'Támogatás szorzat tényezői'!$C$2*'Támogatás szorzat tényezői'!$C$3*P88</f>
        <v>513000</v>
      </c>
    </row>
    <row r="89" spans="1:18" x14ac:dyDescent="0.25">
      <c r="A89" s="178">
        <v>145</v>
      </c>
      <c r="B89" s="177" t="s">
        <v>1357</v>
      </c>
      <c r="C89" s="178" t="s">
        <v>1287</v>
      </c>
      <c r="D89" s="178">
        <v>4</v>
      </c>
      <c r="E89" s="178">
        <v>716</v>
      </c>
      <c r="F89" s="178">
        <v>19</v>
      </c>
      <c r="G89" s="178">
        <v>10</v>
      </c>
      <c r="H89" s="178" t="str">
        <f t="shared" si="8"/>
        <v>0716</v>
      </c>
      <c r="I89" s="178">
        <f t="shared" si="9"/>
        <v>19</v>
      </c>
      <c r="J89" s="178">
        <f t="shared" si="10"/>
        <v>10</v>
      </c>
      <c r="K89" s="178" t="str">
        <f t="shared" si="11"/>
        <v>4 0716 19 10</v>
      </c>
      <c r="L89" s="177" t="s">
        <v>1357</v>
      </c>
      <c r="M89" s="178">
        <v>3</v>
      </c>
      <c r="N89" s="178">
        <v>2</v>
      </c>
      <c r="O89" s="178">
        <v>6</v>
      </c>
      <c r="P89" s="191">
        <f>IF(D89=4,VLOOKUP(C89,Szakmaszorzók!$B$2:$D$25,2,0),VLOOKUP(C89,Szakmaszorzók!$B$2:$D$25,3,0))</f>
        <v>2.85</v>
      </c>
      <c r="Q89" s="192">
        <f>'Támogatás szorzat tényezői'!$C$2*'Támogatás szorzat tényezői'!$C$3*N89*P89</f>
        <v>1026000</v>
      </c>
      <c r="R89" s="192">
        <f>'Támogatás szorzat tényezői'!$C$2*'Támogatás szorzat tényezői'!$C$3*P89</f>
        <v>513000</v>
      </c>
    </row>
    <row r="90" spans="1:18" x14ac:dyDescent="0.25">
      <c r="A90" s="178">
        <v>146</v>
      </c>
      <c r="B90" s="177" t="s">
        <v>188</v>
      </c>
      <c r="C90" s="178" t="s">
        <v>1287</v>
      </c>
      <c r="D90" s="178">
        <v>4</v>
      </c>
      <c r="E90" s="178">
        <v>716</v>
      </c>
      <c r="F90" s="178">
        <v>19</v>
      </c>
      <c r="G90" s="178">
        <v>11</v>
      </c>
      <c r="H90" s="178" t="str">
        <f t="shared" si="8"/>
        <v>0716</v>
      </c>
      <c r="I90" s="178">
        <f t="shared" si="9"/>
        <v>19</v>
      </c>
      <c r="J90" s="178">
        <f t="shared" si="10"/>
        <v>11</v>
      </c>
      <c r="K90" s="178" t="str">
        <f t="shared" si="11"/>
        <v>4 0716 19 11</v>
      </c>
      <c r="L90" s="177" t="s">
        <v>188</v>
      </c>
      <c r="M90" s="178">
        <v>3</v>
      </c>
      <c r="N90" s="178">
        <v>2</v>
      </c>
      <c r="O90" s="178">
        <v>4</v>
      </c>
      <c r="P90" s="191">
        <f>IF(D90=4,VLOOKUP(C90,Szakmaszorzók!$B$2:$D$25,2,0),VLOOKUP(C90,Szakmaszorzók!$B$2:$D$25,3,0))</f>
        <v>2.85</v>
      </c>
      <c r="Q90" s="192">
        <f>'Támogatás szorzat tényezői'!$C$2*'Támogatás szorzat tényezői'!$C$3*N90*P90</f>
        <v>1026000</v>
      </c>
      <c r="R90" s="192">
        <f>'Támogatás szorzat tényezői'!$C$2*'Támogatás szorzat tényezői'!$C$3*P90</f>
        <v>513000</v>
      </c>
    </row>
    <row r="91" spans="1:18" x14ac:dyDescent="0.25">
      <c r="A91" s="178">
        <v>70</v>
      </c>
      <c r="B91" s="177" t="s">
        <v>190</v>
      </c>
      <c r="C91" s="178" t="s">
        <v>1289</v>
      </c>
      <c r="D91" s="178">
        <v>4</v>
      </c>
      <c r="E91" s="178">
        <v>723</v>
      </c>
      <c r="F91" s="178">
        <v>8</v>
      </c>
      <c r="G91" s="178">
        <v>3</v>
      </c>
      <c r="H91" s="178" t="str">
        <f t="shared" si="8"/>
        <v>0723</v>
      </c>
      <c r="I91" s="178" t="str">
        <f t="shared" si="9"/>
        <v>08</v>
      </c>
      <c r="J91" s="178" t="str">
        <f t="shared" si="10"/>
        <v>03</v>
      </c>
      <c r="K91" s="178" t="str">
        <f t="shared" si="11"/>
        <v>4 0723 08 03</v>
      </c>
      <c r="L91" s="177" t="s">
        <v>190</v>
      </c>
      <c r="M91" s="178">
        <v>3</v>
      </c>
      <c r="N91" s="178">
        <v>2</v>
      </c>
      <c r="O91" s="178">
        <v>4</v>
      </c>
      <c r="P91" s="191">
        <f>IF(D91=4,VLOOKUP(C91,Szakmaszorzók!$B$2:$D$25,2,0),VLOOKUP(C91,Szakmaszorzók!$B$2:$D$25,3,0))</f>
        <v>2.42</v>
      </c>
      <c r="Q91" s="192">
        <f>'Támogatás szorzat tényezői'!$C$2*'Támogatás szorzat tényezői'!$C$3*N91*P91</f>
        <v>871200</v>
      </c>
      <c r="R91" s="192">
        <f>'Támogatás szorzat tényezői'!$C$2*'Támogatás szorzat tényezői'!$C$3*P91</f>
        <v>435600</v>
      </c>
    </row>
    <row r="92" spans="1:18" x14ac:dyDescent="0.25">
      <c r="A92" s="178">
        <v>103</v>
      </c>
      <c r="B92" s="177" t="s">
        <v>1358</v>
      </c>
      <c r="C92" s="178" t="s">
        <v>1340</v>
      </c>
      <c r="D92" s="178">
        <v>4</v>
      </c>
      <c r="E92" s="178">
        <v>1041</v>
      </c>
      <c r="F92" s="178">
        <v>15</v>
      </c>
      <c r="G92" s="178">
        <v>2</v>
      </c>
      <c r="H92" s="178">
        <f t="shared" si="8"/>
        <v>1041</v>
      </c>
      <c r="I92" s="178">
        <f t="shared" si="9"/>
        <v>15</v>
      </c>
      <c r="J92" s="178" t="str">
        <f t="shared" si="10"/>
        <v>02</v>
      </c>
      <c r="K92" s="178" t="str">
        <f t="shared" si="11"/>
        <v>4 1041 15 02</v>
      </c>
      <c r="L92" s="177" t="s">
        <v>1358</v>
      </c>
      <c r="M92" s="178">
        <v>3</v>
      </c>
      <c r="N92" s="178">
        <v>2</v>
      </c>
      <c r="O92" s="178">
        <v>4</v>
      </c>
      <c r="P92" s="191">
        <f>IF(D92=4,VLOOKUP(C92,Szakmaszorzók!$B$2:$D$25,2,0),VLOOKUP(C92,Szakmaszorzók!$B$2:$D$25,3,0))</f>
        <v>2.2000000000000002</v>
      </c>
      <c r="Q92" s="192">
        <f>'Támogatás szorzat tényezői'!$C$2*'Támogatás szorzat tényezői'!$C$3*N92*P92</f>
        <v>792000.00000000012</v>
      </c>
      <c r="R92" s="192">
        <f>'Támogatás szorzat tényezői'!$C$2*'Támogatás szorzat tényezői'!$C$3*P92</f>
        <v>396000.00000000006</v>
      </c>
    </row>
    <row r="93" spans="1:18" x14ac:dyDescent="0.25">
      <c r="A93" s="178">
        <v>113</v>
      </c>
      <c r="B93" s="177" t="s">
        <v>1359</v>
      </c>
      <c r="C93" s="178" t="s">
        <v>1298</v>
      </c>
      <c r="D93" s="178">
        <v>4</v>
      </c>
      <c r="E93" s="178">
        <v>214</v>
      </c>
      <c r="F93" s="178">
        <v>16</v>
      </c>
      <c r="G93" s="178">
        <v>4</v>
      </c>
      <c r="H93" s="178" t="str">
        <f t="shared" si="8"/>
        <v>0214</v>
      </c>
      <c r="I93" s="178">
        <f t="shared" si="9"/>
        <v>16</v>
      </c>
      <c r="J93" s="178" t="str">
        <f t="shared" si="10"/>
        <v>04</v>
      </c>
      <c r="K93" s="178" t="str">
        <f t="shared" si="11"/>
        <v>4 0214 16 04</v>
      </c>
      <c r="L93" s="177" t="s">
        <v>1359</v>
      </c>
      <c r="M93" s="178">
        <v>3</v>
      </c>
      <c r="N93" s="178">
        <v>2</v>
      </c>
      <c r="O93" s="178">
        <v>4</v>
      </c>
      <c r="P93" s="191">
        <f>IF(D93=4,VLOOKUP(C93,Szakmaszorzók!$B$2:$D$25,2,0),VLOOKUP(C93,Szakmaszorzók!$B$2:$D$25,3,0))</f>
        <v>2.42</v>
      </c>
      <c r="Q93" s="192">
        <f>'Támogatás szorzat tényezői'!$C$2*'Támogatás szorzat tényezői'!$C$3*N93*P93</f>
        <v>871200</v>
      </c>
      <c r="R93" s="192">
        <f>'Támogatás szorzat tényezői'!$C$2*'Támogatás szorzat tényezői'!$C$3*P93</f>
        <v>435600</v>
      </c>
    </row>
    <row r="94" spans="1:18" x14ac:dyDescent="0.25">
      <c r="A94" s="178">
        <v>96</v>
      </c>
      <c r="B94" s="177" t="s">
        <v>1361</v>
      </c>
      <c r="C94" s="178" t="s">
        <v>1351</v>
      </c>
      <c r="D94" s="178">
        <v>4</v>
      </c>
      <c r="E94" s="178">
        <v>416</v>
      </c>
      <c r="F94" s="178">
        <v>13</v>
      </c>
      <c r="G94" s="178">
        <v>2</v>
      </c>
      <c r="H94" s="178" t="str">
        <f t="shared" si="8"/>
        <v>0416</v>
      </c>
      <c r="I94" s="178">
        <f t="shared" si="9"/>
        <v>13</v>
      </c>
      <c r="J94" s="178" t="str">
        <f t="shared" si="10"/>
        <v>02</v>
      </c>
      <c r="K94" s="178" t="str">
        <f t="shared" si="11"/>
        <v>4 0416 13 02</v>
      </c>
      <c r="L94" s="177" t="s">
        <v>1361</v>
      </c>
      <c r="M94" s="178">
        <v>3</v>
      </c>
      <c r="N94" s="178">
        <v>2</v>
      </c>
      <c r="O94" s="178">
        <v>5</v>
      </c>
      <c r="P94" s="191">
        <f>IF(D94=4,VLOOKUP(C94,Szakmaszorzók!$B$2:$D$25,2,0),VLOOKUP(C94,Szakmaszorzók!$B$2:$D$25,3,0))</f>
        <v>2.2000000000000002</v>
      </c>
      <c r="Q94" s="192">
        <f>'Támogatás szorzat tényezői'!$C$2*'Támogatás szorzat tényezői'!$C$3*N94*P94</f>
        <v>792000.00000000012</v>
      </c>
      <c r="R94" s="192">
        <f>'Támogatás szorzat tényezői'!$C$2*'Támogatás szorzat tényezői'!$C$3*P94</f>
        <v>396000.00000000006</v>
      </c>
    </row>
    <row r="95" spans="1:18" x14ac:dyDescent="0.25">
      <c r="A95" s="178">
        <v>97</v>
      </c>
      <c r="B95" s="177" t="s">
        <v>1363</v>
      </c>
      <c r="C95" s="178" t="s">
        <v>1351</v>
      </c>
      <c r="D95" s="178">
        <v>5</v>
      </c>
      <c r="E95" s="178">
        <v>416</v>
      </c>
      <c r="F95" s="178">
        <v>13</v>
      </c>
      <c r="G95" s="178">
        <v>3</v>
      </c>
      <c r="H95" s="178" t="str">
        <f t="shared" si="8"/>
        <v>0416</v>
      </c>
      <c r="I95" s="178">
        <f t="shared" si="9"/>
        <v>13</v>
      </c>
      <c r="J95" s="178" t="str">
        <f t="shared" si="10"/>
        <v>03</v>
      </c>
      <c r="K95" s="178" t="str">
        <f t="shared" si="11"/>
        <v>5 0416 13 03</v>
      </c>
      <c r="L95" s="177" t="s">
        <v>1363</v>
      </c>
      <c r="M95" s="178">
        <v>5</v>
      </c>
      <c r="N95" s="178">
        <v>2</v>
      </c>
      <c r="O95" s="178">
        <v>6</v>
      </c>
      <c r="P95" s="191">
        <f>IF(D95=4,VLOOKUP(C95,Szakmaszorzók!$B$2:$D$25,2,0),VLOOKUP(C95,Szakmaszorzók!$B$2:$D$25,3,0))</f>
        <v>2.2000000000000002</v>
      </c>
      <c r="Q95" s="192">
        <f>'Támogatás szorzat tényezői'!$C$2*'Támogatás szorzat tényezői'!$C$3*N95*P95</f>
        <v>792000.00000000012</v>
      </c>
      <c r="R95" s="192">
        <f>'Támogatás szorzat tényezői'!$C$2*'Támogatás szorzat tényezői'!$C$3*P95</f>
        <v>396000.00000000006</v>
      </c>
    </row>
    <row r="96" spans="1:18" x14ac:dyDescent="0.25">
      <c r="A96" s="178">
        <v>128</v>
      </c>
      <c r="B96" s="177" t="s">
        <v>195</v>
      </c>
      <c r="C96" s="178" t="s">
        <v>1316</v>
      </c>
      <c r="D96" s="178">
        <v>4</v>
      </c>
      <c r="E96" s="178">
        <v>812</v>
      </c>
      <c r="F96" s="178">
        <v>17</v>
      </c>
      <c r="G96" s="178">
        <v>5</v>
      </c>
      <c r="H96" s="178" t="str">
        <f t="shared" si="8"/>
        <v>0812</v>
      </c>
      <c r="I96" s="178">
        <f t="shared" si="9"/>
        <v>17</v>
      </c>
      <c r="J96" s="178" t="str">
        <f t="shared" si="10"/>
        <v>05</v>
      </c>
      <c r="K96" s="178" t="str">
        <f t="shared" si="11"/>
        <v>4 0812 17 05</v>
      </c>
      <c r="L96" s="177" t="s">
        <v>195</v>
      </c>
      <c r="M96" s="178">
        <v>3</v>
      </c>
      <c r="N96" s="178">
        <v>2</v>
      </c>
      <c r="O96" s="178">
        <v>4</v>
      </c>
      <c r="P96" s="191">
        <f>IF(D96=4,VLOOKUP(C96,Szakmaszorzók!$B$2:$D$25,2,0),VLOOKUP(C96,Szakmaszorzók!$B$2:$D$25,3,0))</f>
        <v>2.42</v>
      </c>
      <c r="Q96" s="192">
        <f>'Támogatás szorzat tényezői'!$C$2*'Támogatás szorzat tényezői'!$C$3*N96*P96</f>
        <v>871200</v>
      </c>
      <c r="R96" s="192">
        <f>'Támogatás szorzat tényezői'!$C$2*'Támogatás szorzat tényezői'!$C$3*P96</f>
        <v>435600</v>
      </c>
    </row>
    <row r="97" spans="1:18" x14ac:dyDescent="0.25">
      <c r="A97" s="178">
        <v>129</v>
      </c>
      <c r="B97" s="177" t="s">
        <v>1364</v>
      </c>
      <c r="C97" s="178" t="s">
        <v>1316</v>
      </c>
      <c r="D97" s="178">
        <v>5</v>
      </c>
      <c r="E97" s="178">
        <v>812</v>
      </c>
      <c r="F97" s="178">
        <v>17</v>
      </c>
      <c r="G97" s="178">
        <v>6</v>
      </c>
      <c r="H97" s="178" t="str">
        <f t="shared" si="8"/>
        <v>0812</v>
      </c>
      <c r="I97" s="178">
        <f t="shared" si="9"/>
        <v>17</v>
      </c>
      <c r="J97" s="178" t="str">
        <f t="shared" si="10"/>
        <v>06</v>
      </c>
      <c r="K97" s="178" t="str">
        <f t="shared" si="11"/>
        <v>5 0812 17 06</v>
      </c>
      <c r="L97" s="177" t="s">
        <v>1364</v>
      </c>
      <c r="M97" s="178">
        <v>5</v>
      </c>
      <c r="N97" s="178">
        <v>2</v>
      </c>
      <c r="O97" s="178">
        <v>5</v>
      </c>
      <c r="P97" s="191">
        <f>IF(D97=4,VLOOKUP(C97,Szakmaszorzók!$B$2:$D$25,2,0),VLOOKUP(C97,Szakmaszorzók!$B$2:$D$25,3,0))</f>
        <v>2.85</v>
      </c>
      <c r="Q97" s="192">
        <f>'Támogatás szorzat tényezői'!$C$2*'Támogatás szorzat tényezői'!$C$3*N97*P97</f>
        <v>1026000</v>
      </c>
      <c r="R97" s="192">
        <f>'Támogatás szorzat tényezői'!$C$2*'Támogatás szorzat tényezői'!$C$3*P97</f>
        <v>513000</v>
      </c>
    </row>
    <row r="98" spans="1:18" x14ac:dyDescent="0.25">
      <c r="A98" s="178">
        <v>152</v>
      </c>
      <c r="B98" s="177" t="s">
        <v>1365</v>
      </c>
      <c r="C98" s="178" t="s">
        <v>1327</v>
      </c>
      <c r="D98" s="178">
        <v>5</v>
      </c>
      <c r="E98" s="178">
        <v>1012</v>
      </c>
      <c r="F98" s="178">
        <v>21</v>
      </c>
      <c r="G98" s="178">
        <v>2</v>
      </c>
      <c r="H98" s="178">
        <f t="shared" si="8"/>
        <v>1012</v>
      </c>
      <c r="I98" s="178">
        <f t="shared" si="9"/>
        <v>21</v>
      </c>
      <c r="J98" s="178" t="str">
        <f t="shared" si="10"/>
        <v>02</v>
      </c>
      <c r="K98" s="178" t="str">
        <f t="shared" si="11"/>
        <v>5 1012 21 02</v>
      </c>
      <c r="L98" s="177" t="s">
        <v>1365</v>
      </c>
      <c r="M98" s="178">
        <v>5</v>
      </c>
      <c r="N98" s="178">
        <v>2</v>
      </c>
      <c r="O98" s="178">
        <v>5</v>
      </c>
      <c r="P98" s="191">
        <f>IF(D98=4,VLOOKUP(C98,Szakmaszorzók!$B$2:$D$25,2,0),VLOOKUP(C98,Szakmaszorzók!$B$2:$D$25,3,0))</f>
        <v>2.42</v>
      </c>
      <c r="Q98" s="192">
        <f>'Támogatás szorzat tényezői'!$C$2*'Támogatás szorzat tényezői'!$C$3*N98*P98</f>
        <v>871200</v>
      </c>
      <c r="R98" s="192">
        <f>'Támogatás szorzat tényezői'!$C$2*'Támogatás szorzat tényezői'!$C$3*P98</f>
        <v>435600</v>
      </c>
    </row>
    <row r="99" spans="1:18" x14ac:dyDescent="0.25">
      <c r="A99" s="178">
        <v>155</v>
      </c>
      <c r="B99" s="177" t="s">
        <v>198</v>
      </c>
      <c r="C99" s="178" t="s">
        <v>1338</v>
      </c>
      <c r="D99" s="178">
        <v>5</v>
      </c>
      <c r="E99" s="178">
        <v>922</v>
      </c>
      <c r="F99" s="178">
        <v>22</v>
      </c>
      <c r="G99" s="178">
        <v>2</v>
      </c>
      <c r="H99" s="178" t="str">
        <f t="shared" si="8"/>
        <v>0922</v>
      </c>
      <c r="I99" s="178">
        <f t="shared" si="9"/>
        <v>22</v>
      </c>
      <c r="J99" s="178" t="str">
        <f t="shared" si="10"/>
        <v>02</v>
      </c>
      <c r="K99" s="178" t="str">
        <f t="shared" si="11"/>
        <v>5 0922 22 02</v>
      </c>
      <c r="L99" s="177" t="s">
        <v>198</v>
      </c>
      <c r="M99" s="178">
        <v>5</v>
      </c>
      <c r="N99" s="178">
        <v>2</v>
      </c>
      <c r="O99" s="178">
        <v>5</v>
      </c>
      <c r="P99" s="191">
        <f>IF(D99=4,VLOOKUP(C99,Szakmaszorzók!$B$2:$D$25,2,0),VLOOKUP(C99,Szakmaszorzók!$B$2:$D$25,3,0))</f>
        <v>2.2000000000000002</v>
      </c>
      <c r="Q99" s="192">
        <f>'Támogatás szorzat tényezői'!$C$2*'Támogatás szorzat tényezői'!$C$3*N99*P99</f>
        <v>792000.00000000012</v>
      </c>
      <c r="R99" s="192">
        <f>'Támogatás szorzat tényezői'!$C$2*'Támogatás szorzat tényezői'!$C$3*P99</f>
        <v>396000.00000000006</v>
      </c>
    </row>
    <row r="100" spans="1:18" x14ac:dyDescent="0.25">
      <c r="A100" s="178">
        <v>104</v>
      </c>
      <c r="B100" s="177" t="s">
        <v>1366</v>
      </c>
      <c r="C100" s="178" t="s">
        <v>1340</v>
      </c>
      <c r="D100" s="178">
        <v>4</v>
      </c>
      <c r="E100" s="178">
        <v>722</v>
      </c>
      <c r="F100" s="178">
        <v>15</v>
      </c>
      <c r="G100" s="178">
        <v>3</v>
      </c>
      <c r="H100" s="178" t="str">
        <f t="shared" si="8"/>
        <v>0722</v>
      </c>
      <c r="I100" s="178">
        <f t="shared" si="9"/>
        <v>15</v>
      </c>
      <c r="J100" s="178" t="str">
        <f t="shared" si="10"/>
        <v>03</v>
      </c>
      <c r="K100" s="178" t="str">
        <f t="shared" si="11"/>
        <v>4 0722 15 03</v>
      </c>
      <c r="L100" s="177" t="s">
        <v>1366</v>
      </c>
      <c r="M100" s="178">
        <v>3</v>
      </c>
      <c r="N100" s="178">
        <v>2</v>
      </c>
      <c r="O100" s="178">
        <v>4</v>
      </c>
      <c r="P100" s="191">
        <f>IF(D100=4,VLOOKUP(C100,Szakmaszorzók!$B$2:$D$25,2,0),VLOOKUP(C100,Szakmaszorzók!$B$2:$D$25,3,0))</f>
        <v>2.2000000000000002</v>
      </c>
      <c r="Q100" s="192">
        <f>'Támogatás szorzat tényezői'!$C$2*'Támogatás szorzat tényezői'!$C$3*N100*P100</f>
        <v>792000.00000000012</v>
      </c>
      <c r="R100" s="192">
        <f>'Támogatás szorzat tényezői'!$C$2*'Támogatás szorzat tényezői'!$C$3*P100</f>
        <v>396000.00000000006</v>
      </c>
    </row>
    <row r="101" spans="1:18" x14ac:dyDescent="0.25">
      <c r="A101" s="178">
        <v>39</v>
      </c>
      <c r="B101" s="177" t="s">
        <v>1367</v>
      </c>
      <c r="C101" s="178" t="s">
        <v>1296</v>
      </c>
      <c r="D101" s="178">
        <v>4</v>
      </c>
      <c r="E101" s="178">
        <v>721</v>
      </c>
      <c r="F101" s="178">
        <v>5</v>
      </c>
      <c r="G101" s="178">
        <v>10</v>
      </c>
      <c r="H101" s="178" t="str">
        <f t="shared" si="8"/>
        <v>0721</v>
      </c>
      <c r="I101" s="178" t="str">
        <f t="shared" si="9"/>
        <v>05</v>
      </c>
      <c r="J101" s="178">
        <f t="shared" si="10"/>
        <v>10</v>
      </c>
      <c r="K101" s="178" t="str">
        <f t="shared" si="11"/>
        <v>4 0721 05 10</v>
      </c>
      <c r="L101" s="177" t="s">
        <v>1367</v>
      </c>
      <c r="M101" s="178">
        <v>3</v>
      </c>
      <c r="N101" s="178">
        <v>2</v>
      </c>
      <c r="O101" s="178">
        <v>4</v>
      </c>
      <c r="P101" s="191">
        <f>IF(D101=4,VLOOKUP(C101,Szakmaszorzók!$B$2:$D$25,2,0),VLOOKUP(C101,Szakmaszorzók!$B$2:$D$25,3,0))</f>
        <v>2.2000000000000002</v>
      </c>
      <c r="Q101" s="192">
        <f>'Támogatás szorzat tényezői'!$C$2*'Támogatás szorzat tényezői'!$C$3*N101*P101</f>
        <v>792000.00000000012</v>
      </c>
      <c r="R101" s="192">
        <f>'Támogatás szorzat tényezői'!$C$2*'Támogatás szorzat tényezői'!$C$3*P101</f>
        <v>396000.00000000006</v>
      </c>
    </row>
    <row r="102" spans="1:18" x14ac:dyDescent="0.25">
      <c r="A102" s="178">
        <v>17</v>
      </c>
      <c r="B102" s="177" t="s">
        <v>236</v>
      </c>
      <c r="C102" s="178" t="s">
        <v>1285</v>
      </c>
      <c r="D102" s="178">
        <v>5</v>
      </c>
      <c r="E102" s="178">
        <v>914</v>
      </c>
      <c r="F102" s="178">
        <v>3</v>
      </c>
      <c r="G102" s="178">
        <v>5</v>
      </c>
      <c r="H102" s="178" t="str">
        <f t="shared" si="8"/>
        <v>0914</v>
      </c>
      <c r="I102" s="178" t="str">
        <f t="shared" si="9"/>
        <v>03</v>
      </c>
      <c r="J102" s="178" t="str">
        <f t="shared" si="10"/>
        <v>05</v>
      </c>
      <c r="K102" s="178" t="str">
        <f t="shared" si="11"/>
        <v>5 0914 03 05</v>
      </c>
      <c r="L102" s="177" t="s">
        <v>236</v>
      </c>
      <c r="M102" s="178">
        <v>6</v>
      </c>
      <c r="N102" s="178">
        <v>3</v>
      </c>
      <c r="O102" s="178">
        <v>6</v>
      </c>
      <c r="P102" s="191">
        <f>IF(D102=4,VLOOKUP(C102,Szakmaszorzók!$B$2:$D$25,2,0),VLOOKUP(C102,Szakmaszorzók!$B$2:$D$25,3,0))</f>
        <v>2.2000000000000002</v>
      </c>
      <c r="Q102" s="192">
        <f>'Támogatás szorzat tényezői'!$C$2*'Támogatás szorzat tényezői'!$C$3*N102*P102</f>
        <v>1188000</v>
      </c>
      <c r="R102" s="192">
        <f>'Támogatás szorzat tényezői'!$C$2*'Támogatás szorzat tényezői'!$C$3*P102</f>
        <v>396000.00000000006</v>
      </c>
    </row>
    <row r="103" spans="1:18" x14ac:dyDescent="0.25">
      <c r="A103" s="178">
        <v>105</v>
      </c>
      <c r="B103" s="177" t="s">
        <v>1368</v>
      </c>
      <c r="C103" s="178" t="s">
        <v>1340</v>
      </c>
      <c r="D103" s="178">
        <v>5</v>
      </c>
      <c r="E103" s="178">
        <v>716</v>
      </c>
      <c r="F103" s="178">
        <v>15</v>
      </c>
      <c r="G103" s="178">
        <v>4</v>
      </c>
      <c r="H103" s="178" t="str">
        <f t="shared" ref="H103:H134" si="12">IF(E103&lt;1000,"0"&amp;E103,E103)</f>
        <v>0716</v>
      </c>
      <c r="I103" s="178">
        <f t="shared" ref="I103:I134" si="13">IF(F103&lt;10,"0"&amp;F103,F103)</f>
        <v>15</v>
      </c>
      <c r="J103" s="178" t="str">
        <f t="shared" ref="J103:J134" si="14">IF(G103&lt;10,"0"&amp;G103,G103)</f>
        <v>04</v>
      </c>
      <c r="K103" s="178" t="str">
        <f t="shared" ref="K103:K134" si="15">D103&amp;" "&amp;H103&amp;" "&amp;I103&amp;" "&amp;J103</f>
        <v>5 0716 15 04</v>
      </c>
      <c r="L103" s="177" t="s">
        <v>1368</v>
      </c>
      <c r="M103" s="178">
        <v>5</v>
      </c>
      <c r="N103" s="178">
        <v>2</v>
      </c>
      <c r="O103" s="178">
        <v>5</v>
      </c>
      <c r="P103" s="191">
        <f>IF(D103=4,VLOOKUP(C103,Szakmaszorzók!$B$2:$D$25,2,0),VLOOKUP(C103,Szakmaszorzók!$B$2:$D$25,3,0))</f>
        <v>2.2000000000000002</v>
      </c>
      <c r="Q103" s="192">
        <f>'Támogatás szorzat tényezői'!$C$2*'Támogatás szorzat tényezői'!$C$3*N103*P103</f>
        <v>792000.00000000012</v>
      </c>
      <c r="R103" s="192">
        <f>'Támogatás szorzat tényezői'!$C$2*'Támogatás szorzat tényezői'!$C$3*P103</f>
        <v>396000.00000000006</v>
      </c>
    </row>
    <row r="104" spans="1:18" x14ac:dyDescent="0.25">
      <c r="A104" s="178">
        <v>8</v>
      </c>
      <c r="B104" s="177" t="s">
        <v>1369</v>
      </c>
      <c r="C104" s="178" t="s">
        <v>1293</v>
      </c>
      <c r="D104" s="178">
        <v>5</v>
      </c>
      <c r="E104" s="178">
        <v>715</v>
      </c>
      <c r="F104" s="178">
        <v>1</v>
      </c>
      <c r="G104" s="178">
        <v>6</v>
      </c>
      <c r="H104" s="178" t="str">
        <f t="shared" si="12"/>
        <v>0715</v>
      </c>
      <c r="I104" s="178" t="str">
        <f t="shared" si="13"/>
        <v>01</v>
      </c>
      <c r="J104" s="178" t="str">
        <f t="shared" si="14"/>
        <v>06</v>
      </c>
      <c r="K104" s="178" t="str">
        <f t="shared" si="15"/>
        <v>5 0715 01 06</v>
      </c>
      <c r="L104" s="177" t="s">
        <v>1369</v>
      </c>
      <c r="M104" s="178">
        <v>5</v>
      </c>
      <c r="N104" s="178">
        <v>2</v>
      </c>
      <c r="O104" s="178">
        <v>6</v>
      </c>
      <c r="P104" s="191">
        <f>IF(D104=4,VLOOKUP(C104,Szakmaszorzók!$B$2:$D$25,2,0),VLOOKUP(C104,Szakmaszorzók!$B$2:$D$25,3,0))</f>
        <v>2.42</v>
      </c>
      <c r="Q104" s="192">
        <f>'Támogatás szorzat tényezői'!$C$2*'Támogatás szorzat tényezői'!$C$3*N104*P104</f>
        <v>871200</v>
      </c>
      <c r="R104" s="192">
        <f>'Támogatás szorzat tényezői'!$C$2*'Támogatás szorzat tényezői'!$C$3*P104</f>
        <v>435600</v>
      </c>
    </row>
    <row r="105" spans="1:18" x14ac:dyDescent="0.25">
      <c r="A105" s="178">
        <v>153</v>
      </c>
      <c r="B105" s="177" t="s">
        <v>1370</v>
      </c>
      <c r="C105" s="178" t="s">
        <v>1327</v>
      </c>
      <c r="D105" s="178">
        <v>5</v>
      </c>
      <c r="E105" s="178">
        <v>1012</v>
      </c>
      <c r="F105" s="178">
        <v>21</v>
      </c>
      <c r="G105" s="178">
        <v>3</v>
      </c>
      <c r="H105" s="178">
        <f t="shared" si="12"/>
        <v>1012</v>
      </c>
      <c r="I105" s="178">
        <f t="shared" si="13"/>
        <v>21</v>
      </c>
      <c r="J105" s="178" t="str">
        <f t="shared" si="14"/>
        <v>03</v>
      </c>
      <c r="K105" s="178" t="str">
        <f t="shared" si="15"/>
        <v>5 1012 21 03</v>
      </c>
      <c r="L105" s="177" t="s">
        <v>1370</v>
      </c>
      <c r="M105" s="178">
        <v>5</v>
      </c>
      <c r="N105" s="178">
        <v>2</v>
      </c>
      <c r="O105" s="178">
        <v>5</v>
      </c>
      <c r="P105" s="191">
        <f>IF(D105=4,VLOOKUP(C105,Szakmaszorzók!$B$2:$D$25,2,0),VLOOKUP(C105,Szakmaszorzók!$B$2:$D$25,3,0))</f>
        <v>2.42</v>
      </c>
      <c r="Q105" s="192">
        <f>'Támogatás szorzat tényezői'!$C$2*'Támogatás szorzat tényezői'!$C$3*N105*P105</f>
        <v>871200</v>
      </c>
      <c r="R105" s="192">
        <f>'Támogatás szorzat tényezői'!$C$2*'Támogatás szorzat tényezői'!$C$3*P105</f>
        <v>435600</v>
      </c>
    </row>
    <row r="106" spans="1:18" x14ac:dyDescent="0.25">
      <c r="A106" s="178">
        <v>54</v>
      </c>
      <c r="B106" s="177" t="s">
        <v>717</v>
      </c>
      <c r="C106" s="178" t="s">
        <v>1282</v>
      </c>
      <c r="D106" s="178">
        <v>4</v>
      </c>
      <c r="E106" s="178">
        <v>732</v>
      </c>
      <c r="F106" s="178">
        <v>6</v>
      </c>
      <c r="G106" s="178">
        <v>7</v>
      </c>
      <c r="H106" s="178" t="str">
        <f t="shared" si="12"/>
        <v>0732</v>
      </c>
      <c r="I106" s="178" t="str">
        <f t="shared" si="13"/>
        <v>06</v>
      </c>
      <c r="J106" s="178" t="str">
        <f t="shared" si="14"/>
        <v>07</v>
      </c>
      <c r="K106" s="178" t="str">
        <f t="shared" si="15"/>
        <v>4 0732 06 07</v>
      </c>
      <c r="L106" s="177" t="s">
        <v>717</v>
      </c>
      <c r="M106" s="178">
        <v>3</v>
      </c>
      <c r="N106" s="178">
        <v>2</v>
      </c>
      <c r="O106" s="178">
        <v>4</v>
      </c>
      <c r="P106" s="191">
        <f>IF(D106=4,VLOOKUP(C106,Szakmaszorzók!$B$2:$D$25,2,0),VLOOKUP(C106,Szakmaszorzók!$B$2:$D$25,3,0))</f>
        <v>2.42</v>
      </c>
      <c r="Q106" s="192">
        <f>'Támogatás szorzat tényezői'!$C$2*'Támogatás szorzat tényezői'!$C$3*N106*P106</f>
        <v>871200</v>
      </c>
      <c r="R106" s="192">
        <f>'Támogatás szorzat tényezői'!$C$2*'Támogatás szorzat tényezői'!$C$3*P106</f>
        <v>435600</v>
      </c>
    </row>
    <row r="107" spans="1:18" x14ac:dyDescent="0.25">
      <c r="A107" s="178">
        <v>55</v>
      </c>
      <c r="B107" s="177" t="s">
        <v>246</v>
      </c>
      <c r="C107" s="178" t="s">
        <v>1282</v>
      </c>
      <c r="D107" s="178">
        <v>4</v>
      </c>
      <c r="E107" s="178">
        <v>732</v>
      </c>
      <c r="F107" s="178">
        <v>6</v>
      </c>
      <c r="G107" s="178">
        <v>8</v>
      </c>
      <c r="H107" s="178" t="str">
        <f t="shared" si="12"/>
        <v>0732</v>
      </c>
      <c r="I107" s="178" t="str">
        <f t="shared" si="13"/>
        <v>06</v>
      </c>
      <c r="J107" s="178" t="str">
        <f t="shared" si="14"/>
        <v>08</v>
      </c>
      <c r="K107" s="178" t="str">
        <f t="shared" si="15"/>
        <v>4 0732 06 08</v>
      </c>
      <c r="L107" s="177" t="s">
        <v>246</v>
      </c>
      <c r="M107" s="178">
        <v>3</v>
      </c>
      <c r="N107" s="178">
        <v>2</v>
      </c>
      <c r="O107" s="178">
        <v>4</v>
      </c>
      <c r="P107" s="191">
        <f>IF(D107=4,VLOOKUP(C107,Szakmaszorzók!$B$2:$D$25,2,0),VLOOKUP(C107,Szakmaszorzók!$B$2:$D$25,3,0))</f>
        <v>2.42</v>
      </c>
      <c r="Q107" s="192">
        <f>'Támogatás szorzat tényezői'!$C$2*'Támogatás szorzat tényezői'!$C$3*N107*P107</f>
        <v>871200</v>
      </c>
      <c r="R107" s="192">
        <f>'Támogatás szorzat tényezői'!$C$2*'Támogatás szorzat tényezői'!$C$3*P107</f>
        <v>435600</v>
      </c>
    </row>
    <row r="108" spans="1:18" x14ac:dyDescent="0.25">
      <c r="A108" s="178">
        <v>114</v>
      </c>
      <c r="B108" s="177" t="s">
        <v>1371</v>
      </c>
      <c r="C108" s="178" t="s">
        <v>1298</v>
      </c>
      <c r="D108" s="178">
        <v>5</v>
      </c>
      <c r="E108" s="178">
        <v>723</v>
      </c>
      <c r="F108" s="178">
        <v>16</v>
      </c>
      <c r="G108" s="178">
        <v>5</v>
      </c>
      <c r="H108" s="178" t="str">
        <f t="shared" si="12"/>
        <v>0723</v>
      </c>
      <c r="I108" s="178">
        <f t="shared" si="13"/>
        <v>16</v>
      </c>
      <c r="J108" s="178" t="str">
        <f t="shared" si="14"/>
        <v>05</v>
      </c>
      <c r="K108" s="178" t="str">
        <f t="shared" si="15"/>
        <v>5 0723 16 05</v>
      </c>
      <c r="L108" s="177" t="s">
        <v>1371</v>
      </c>
      <c r="M108" s="178">
        <v>5</v>
      </c>
      <c r="N108" s="178">
        <v>2</v>
      </c>
      <c r="O108" s="178">
        <v>5</v>
      </c>
      <c r="P108" s="191">
        <f>IF(D108=4,VLOOKUP(C108,Szakmaszorzók!$B$2:$D$25,2,0),VLOOKUP(C108,Szakmaszorzók!$B$2:$D$25,3,0))</f>
        <v>2.42</v>
      </c>
      <c r="Q108" s="192">
        <f>'Támogatás szorzat tényezői'!$C$2*'Támogatás szorzat tényezői'!$C$3*N108*P108</f>
        <v>871200</v>
      </c>
      <c r="R108" s="192">
        <f>'Támogatás szorzat tényezői'!$C$2*'Támogatás szorzat tényezői'!$C$3*P108</f>
        <v>435600</v>
      </c>
    </row>
    <row r="109" spans="1:18" x14ac:dyDescent="0.25">
      <c r="A109" s="178">
        <v>99</v>
      </c>
      <c r="B109" s="177" t="s">
        <v>208</v>
      </c>
      <c r="C109" s="178" t="s">
        <v>1347</v>
      </c>
      <c r="D109" s="178">
        <v>5</v>
      </c>
      <c r="E109" s="178">
        <v>712</v>
      </c>
      <c r="F109" s="178">
        <v>14</v>
      </c>
      <c r="G109" s="178">
        <v>2</v>
      </c>
      <c r="H109" s="178" t="str">
        <f t="shared" si="12"/>
        <v>0712</v>
      </c>
      <c r="I109" s="178">
        <f t="shared" si="13"/>
        <v>14</v>
      </c>
      <c r="J109" s="178" t="str">
        <f t="shared" si="14"/>
        <v>02</v>
      </c>
      <c r="K109" s="178" t="str">
        <f t="shared" si="15"/>
        <v>5 0712 14 02</v>
      </c>
      <c r="L109" s="177" t="s">
        <v>208</v>
      </c>
      <c r="M109" s="178">
        <v>5</v>
      </c>
      <c r="N109" s="178">
        <v>2</v>
      </c>
      <c r="O109" s="178">
        <v>6</v>
      </c>
      <c r="P109" s="191">
        <f>IF(D109=4,VLOOKUP(C109,Szakmaszorzók!$B$2:$D$25,2,0),VLOOKUP(C109,Szakmaszorzók!$B$2:$D$25,3,0))</f>
        <v>2.85</v>
      </c>
      <c r="Q109" s="192">
        <f>'Támogatás szorzat tényezői'!$C$2*'Támogatás szorzat tényezői'!$C$3*N109*P109</f>
        <v>1026000</v>
      </c>
      <c r="R109" s="192">
        <f>'Támogatás szorzat tényezői'!$C$2*'Támogatás szorzat tényezői'!$C$3*P109</f>
        <v>513000</v>
      </c>
    </row>
    <row r="110" spans="1:18" x14ac:dyDescent="0.25">
      <c r="A110" s="178">
        <v>28</v>
      </c>
      <c r="B110" s="177" t="s">
        <v>1976</v>
      </c>
      <c r="C110" s="178" t="s">
        <v>1290</v>
      </c>
      <c r="D110" s="178">
        <v>5</v>
      </c>
      <c r="E110" s="178">
        <v>714</v>
      </c>
      <c r="F110" s="178">
        <v>4</v>
      </c>
      <c r="G110" s="178">
        <v>6</v>
      </c>
      <c r="H110" s="178" t="str">
        <f t="shared" si="12"/>
        <v>0714</v>
      </c>
      <c r="I110" s="178" t="str">
        <f t="shared" si="13"/>
        <v>04</v>
      </c>
      <c r="J110" s="178" t="str">
        <f t="shared" si="14"/>
        <v>06</v>
      </c>
      <c r="K110" s="178" t="str">
        <f t="shared" si="15"/>
        <v>5 0714 04 06</v>
      </c>
      <c r="L110" s="177" t="s">
        <v>1976</v>
      </c>
      <c r="M110" s="178">
        <v>5</v>
      </c>
      <c r="N110" s="178">
        <v>2</v>
      </c>
      <c r="O110" s="178">
        <v>7</v>
      </c>
      <c r="P110" s="191">
        <f>IF(D110=4,VLOOKUP(C110,Szakmaszorzók!$B$2:$D$25,2,0),VLOOKUP(C110,Szakmaszorzók!$B$2:$D$25,3,0))</f>
        <v>2.85</v>
      </c>
      <c r="Q110" s="192">
        <f>'Támogatás szorzat tényezői'!$C$2*'Támogatás szorzat tényezői'!$C$3*N110*P110</f>
        <v>1026000</v>
      </c>
      <c r="R110" s="192">
        <f>'Támogatás szorzat tényezői'!$C$2*'Támogatás szorzat tényezői'!$C$3*P110</f>
        <v>513000</v>
      </c>
    </row>
    <row r="111" spans="1:18" x14ac:dyDescent="0.25">
      <c r="A111" s="178">
        <v>107</v>
      </c>
      <c r="B111" s="177" t="s">
        <v>1981</v>
      </c>
      <c r="C111" s="178" t="s">
        <v>1340</v>
      </c>
      <c r="D111" s="178">
        <v>5</v>
      </c>
      <c r="E111" s="178">
        <v>1041</v>
      </c>
      <c r="F111" s="178">
        <v>15</v>
      </c>
      <c r="G111" s="178">
        <v>5</v>
      </c>
      <c r="H111" s="178">
        <f t="shared" si="12"/>
        <v>1041</v>
      </c>
      <c r="I111" s="178">
        <f t="shared" si="13"/>
        <v>15</v>
      </c>
      <c r="J111" s="178" t="str">
        <f t="shared" si="14"/>
        <v>05</v>
      </c>
      <c r="K111" s="178" t="str">
        <f t="shared" si="15"/>
        <v>5 1041 15 05</v>
      </c>
      <c r="L111" s="177" t="s">
        <v>1981</v>
      </c>
      <c r="M111" s="178">
        <v>5</v>
      </c>
      <c r="N111" s="178">
        <v>2</v>
      </c>
      <c r="O111" s="178">
        <v>6</v>
      </c>
      <c r="P111" s="191">
        <f>IF(D111=4,VLOOKUP(C111,Szakmaszorzók!$B$2:$D$25,2,0),VLOOKUP(C111,Szakmaszorzók!$B$2:$D$25,3,0))</f>
        <v>2.2000000000000002</v>
      </c>
      <c r="Q111" s="192">
        <f>'Támogatás szorzat tényezői'!$C$2*'Támogatás szorzat tényezői'!$C$3*N111*P111</f>
        <v>792000.00000000012</v>
      </c>
      <c r="R111" s="192">
        <f>'Támogatás szorzat tényezői'!$C$2*'Támogatás szorzat tényezői'!$C$3*P111</f>
        <v>396000.00000000006</v>
      </c>
    </row>
    <row r="112" spans="1:18" x14ac:dyDescent="0.25">
      <c r="A112" s="178">
        <v>66</v>
      </c>
      <c r="B112" s="177" t="s">
        <v>1978</v>
      </c>
      <c r="C112" s="178" t="s">
        <v>1315</v>
      </c>
      <c r="D112" s="178">
        <v>4</v>
      </c>
      <c r="E112" s="178">
        <v>732</v>
      </c>
      <c r="F112" s="178">
        <v>7</v>
      </c>
      <c r="G112" s="178">
        <v>3</v>
      </c>
      <c r="H112" s="178" t="str">
        <f t="shared" si="12"/>
        <v>0732</v>
      </c>
      <c r="I112" s="178" t="str">
        <f t="shared" si="13"/>
        <v>07</v>
      </c>
      <c r="J112" s="178" t="str">
        <f t="shared" si="14"/>
        <v>03</v>
      </c>
      <c r="K112" s="178" t="str">
        <f t="shared" si="15"/>
        <v>4 0732 07 03</v>
      </c>
      <c r="L112" s="177" t="s">
        <v>1978</v>
      </c>
      <c r="M112" s="178">
        <v>3</v>
      </c>
      <c r="N112" s="178">
        <v>2</v>
      </c>
      <c r="O112" s="178">
        <v>5</v>
      </c>
      <c r="P112" s="191">
        <f>IF(D112=4,VLOOKUP(C112,Szakmaszorzók!$B$2:$D$25,2,0),VLOOKUP(C112,Szakmaszorzók!$B$2:$D$25,3,0))</f>
        <v>2.42</v>
      </c>
      <c r="Q112" s="192">
        <f>'Támogatás szorzat tényezői'!$C$2*'Támogatás szorzat tényezői'!$C$3*N112*P112</f>
        <v>871200</v>
      </c>
      <c r="R112" s="192">
        <f>'Támogatás szorzat tényezői'!$C$2*'Támogatás szorzat tényezői'!$C$3*P112</f>
        <v>435600</v>
      </c>
    </row>
    <row r="113" spans="1:18" x14ac:dyDescent="0.25">
      <c r="A113" s="178">
        <v>133</v>
      </c>
      <c r="B113" s="177" t="s">
        <v>1372</v>
      </c>
      <c r="C113" s="178" t="s">
        <v>1373</v>
      </c>
      <c r="D113" s="178">
        <v>5</v>
      </c>
      <c r="E113" s="178">
        <v>413</v>
      </c>
      <c r="F113" s="178">
        <v>18</v>
      </c>
      <c r="G113" s="178">
        <v>1</v>
      </c>
      <c r="H113" s="178" t="str">
        <f t="shared" si="12"/>
        <v>0413</v>
      </c>
      <c r="I113" s="178">
        <f t="shared" si="13"/>
        <v>18</v>
      </c>
      <c r="J113" s="178" t="str">
        <f t="shared" si="14"/>
        <v>01</v>
      </c>
      <c r="K113" s="178" t="str">
        <f t="shared" si="15"/>
        <v>5 0413 18 01</v>
      </c>
      <c r="L113" s="177" t="s">
        <v>1372</v>
      </c>
      <c r="M113" s="178">
        <v>5</v>
      </c>
      <c r="N113" s="178">
        <v>2</v>
      </c>
      <c r="O113" s="178">
        <v>6</v>
      </c>
      <c r="P113" s="191">
        <f>IF(D113=4,VLOOKUP(C113,Szakmaszorzók!$B$2:$D$25,2,0),VLOOKUP(C113,Szakmaszorzók!$B$2:$D$25,3,0))</f>
        <v>2.2000000000000002</v>
      </c>
      <c r="Q113" s="192">
        <f>'Támogatás szorzat tényezői'!$C$2*'Támogatás szorzat tényezői'!$C$3*N113*P113</f>
        <v>792000.00000000012</v>
      </c>
      <c r="R113" s="192">
        <f>'Támogatás szorzat tényezői'!$C$2*'Támogatás szorzat tényezői'!$C$3*P113</f>
        <v>396000.00000000006</v>
      </c>
    </row>
    <row r="114" spans="1:18" x14ac:dyDescent="0.25">
      <c r="A114" s="178">
        <v>82</v>
      </c>
      <c r="B114" s="177" t="s">
        <v>1375</v>
      </c>
      <c r="C114" s="178" t="s">
        <v>1301</v>
      </c>
      <c r="D114" s="178">
        <v>5</v>
      </c>
      <c r="E114" s="178">
        <v>716</v>
      </c>
      <c r="F114" s="178">
        <v>10</v>
      </c>
      <c r="G114" s="178">
        <v>10</v>
      </c>
      <c r="H114" s="178" t="str">
        <f t="shared" si="12"/>
        <v>0716</v>
      </c>
      <c r="I114" s="178">
        <f t="shared" si="13"/>
        <v>10</v>
      </c>
      <c r="J114" s="178">
        <f t="shared" si="14"/>
        <v>10</v>
      </c>
      <c r="K114" s="178" t="str">
        <f t="shared" si="15"/>
        <v>5 0716 10 10</v>
      </c>
      <c r="L114" s="177" t="s">
        <v>1375</v>
      </c>
      <c r="M114" s="178">
        <v>5</v>
      </c>
      <c r="N114" s="178">
        <v>2</v>
      </c>
      <c r="O114" s="178">
        <v>6</v>
      </c>
      <c r="P114" s="191">
        <f>IF(D114=4,VLOOKUP(C114,Szakmaszorzók!$B$2:$D$25,2,0),VLOOKUP(C114,Szakmaszorzók!$B$2:$D$25,3,0))</f>
        <v>2.85</v>
      </c>
      <c r="Q114" s="192">
        <f>'Támogatás szorzat tényezői'!$C$2*'Támogatás szorzat tényezői'!$C$3*N114*P114</f>
        <v>1026000</v>
      </c>
      <c r="R114" s="192">
        <f>'Támogatás szorzat tényezői'!$C$2*'Támogatás szorzat tényezői'!$C$3*P114</f>
        <v>513000</v>
      </c>
    </row>
    <row r="115" spans="1:18" x14ac:dyDescent="0.25">
      <c r="A115" s="178">
        <v>83</v>
      </c>
      <c r="B115" s="177" t="s">
        <v>1376</v>
      </c>
      <c r="C115" s="178" t="s">
        <v>1301</v>
      </c>
      <c r="D115" s="178">
        <v>5</v>
      </c>
      <c r="E115" s="178">
        <v>716</v>
      </c>
      <c r="F115" s="178">
        <v>10</v>
      </c>
      <c r="G115" s="178">
        <v>11</v>
      </c>
      <c r="H115" s="178" t="str">
        <f t="shared" si="12"/>
        <v>0716</v>
      </c>
      <c r="I115" s="178">
        <f t="shared" si="13"/>
        <v>10</v>
      </c>
      <c r="J115" s="178">
        <f t="shared" si="14"/>
        <v>11</v>
      </c>
      <c r="K115" s="178" t="str">
        <f t="shared" si="15"/>
        <v>5 0716 10 11</v>
      </c>
      <c r="L115" s="177" t="s">
        <v>1376</v>
      </c>
      <c r="M115" s="178">
        <v>5</v>
      </c>
      <c r="N115" s="178">
        <v>2</v>
      </c>
      <c r="O115" s="178">
        <v>6</v>
      </c>
      <c r="P115" s="191">
        <f>IF(D115=4,VLOOKUP(C115,Szakmaszorzók!$B$2:$D$25,2,0),VLOOKUP(C115,Szakmaszorzók!$B$2:$D$25,3,0))</f>
        <v>2.85</v>
      </c>
      <c r="Q115" s="192">
        <f>'Támogatás szorzat tényezői'!$C$2*'Támogatás szorzat tényezői'!$C$3*N115*P115</f>
        <v>1026000</v>
      </c>
      <c r="R115" s="192">
        <f>'Támogatás szorzat tényezői'!$C$2*'Támogatás szorzat tényezői'!$C$3*P115</f>
        <v>513000</v>
      </c>
    </row>
    <row r="116" spans="1:18" x14ac:dyDescent="0.25">
      <c r="A116" s="178">
        <v>108</v>
      </c>
      <c r="B116" s="177" t="s">
        <v>1377</v>
      </c>
      <c r="C116" s="178" t="s">
        <v>1340</v>
      </c>
      <c r="D116" s="178">
        <v>5</v>
      </c>
      <c r="E116" s="178">
        <v>1041</v>
      </c>
      <c r="F116" s="178">
        <v>15</v>
      </c>
      <c r="G116" s="178">
        <v>6</v>
      </c>
      <c r="H116" s="178">
        <f t="shared" si="12"/>
        <v>1041</v>
      </c>
      <c r="I116" s="178">
        <f t="shared" si="13"/>
        <v>15</v>
      </c>
      <c r="J116" s="178" t="str">
        <f t="shared" si="14"/>
        <v>06</v>
      </c>
      <c r="K116" s="178" t="str">
        <f t="shared" si="15"/>
        <v>5 1041 15 06</v>
      </c>
      <c r="L116" s="177" t="s">
        <v>1377</v>
      </c>
      <c r="M116" s="178">
        <v>5</v>
      </c>
      <c r="N116" s="178">
        <v>2</v>
      </c>
      <c r="O116" s="178">
        <v>6</v>
      </c>
      <c r="P116" s="191">
        <f>IF(D116=4,VLOOKUP(C116,Szakmaszorzók!$B$2:$D$25,2,0),VLOOKUP(C116,Szakmaszorzók!$B$2:$D$25,3,0))</f>
        <v>2.2000000000000002</v>
      </c>
      <c r="Q116" s="192">
        <f>'Támogatás szorzat tényezői'!$C$2*'Támogatás szorzat tényezői'!$C$3*N116*P116</f>
        <v>792000.00000000012</v>
      </c>
      <c r="R116" s="192">
        <f>'Támogatás szorzat tényezői'!$C$2*'Támogatás szorzat tényezői'!$C$3*P116</f>
        <v>396000.00000000006</v>
      </c>
    </row>
    <row r="117" spans="1:18" x14ac:dyDescent="0.25">
      <c r="A117" s="178">
        <v>56</v>
      </c>
      <c r="B117" s="177" t="s">
        <v>221</v>
      </c>
      <c r="C117" s="178" t="s">
        <v>1282</v>
      </c>
      <c r="D117" s="178">
        <v>5</v>
      </c>
      <c r="E117" s="178">
        <v>732</v>
      </c>
      <c r="F117" s="178">
        <v>6</v>
      </c>
      <c r="G117" s="178">
        <v>9</v>
      </c>
      <c r="H117" s="178" t="str">
        <f t="shared" si="12"/>
        <v>0732</v>
      </c>
      <c r="I117" s="178" t="str">
        <f t="shared" si="13"/>
        <v>06</v>
      </c>
      <c r="J117" s="178" t="str">
        <f t="shared" si="14"/>
        <v>09</v>
      </c>
      <c r="K117" s="178" t="str">
        <f t="shared" si="15"/>
        <v>5 0732 06 09</v>
      </c>
      <c r="L117" s="177" t="s">
        <v>221</v>
      </c>
      <c r="M117" s="178">
        <v>5</v>
      </c>
      <c r="N117" s="178">
        <v>2</v>
      </c>
      <c r="O117" s="178">
        <v>5</v>
      </c>
      <c r="P117" s="191">
        <f>IF(D117=4,VLOOKUP(C117,Szakmaszorzók!$B$2:$D$25,2,0),VLOOKUP(C117,Szakmaszorzók!$B$2:$D$25,3,0))</f>
        <v>2.42</v>
      </c>
      <c r="Q117" s="192">
        <f>'Támogatás szorzat tényezői'!$C$2*'Támogatás szorzat tényezői'!$C$3*N117*P117</f>
        <v>871200</v>
      </c>
      <c r="R117" s="192">
        <f>'Támogatás szorzat tényezői'!$C$2*'Támogatás szorzat tényezői'!$C$3*P117</f>
        <v>435600</v>
      </c>
    </row>
    <row r="118" spans="1:18" x14ac:dyDescent="0.25">
      <c r="A118" s="178">
        <v>147</v>
      </c>
      <c r="B118" s="177" t="s">
        <v>225</v>
      </c>
      <c r="C118" s="178" t="s">
        <v>1287</v>
      </c>
      <c r="D118" s="178">
        <v>5</v>
      </c>
      <c r="E118" s="178">
        <v>714</v>
      </c>
      <c r="F118" s="178">
        <v>19</v>
      </c>
      <c r="G118" s="178">
        <v>12</v>
      </c>
      <c r="H118" s="178" t="str">
        <f t="shared" si="12"/>
        <v>0714</v>
      </c>
      <c r="I118" s="178">
        <f t="shared" si="13"/>
        <v>19</v>
      </c>
      <c r="J118" s="178">
        <f t="shared" si="14"/>
        <v>12</v>
      </c>
      <c r="K118" s="178" t="str">
        <f t="shared" si="15"/>
        <v>5 0714 19 12</v>
      </c>
      <c r="L118" s="177" t="s">
        <v>225</v>
      </c>
      <c r="M118" s="178">
        <v>5</v>
      </c>
      <c r="N118" s="178">
        <v>2</v>
      </c>
      <c r="O118" s="178">
        <v>6</v>
      </c>
      <c r="P118" s="191">
        <f>IF(D118=4,VLOOKUP(C118,Szakmaszorzók!$B$2:$D$25,2,0),VLOOKUP(C118,Szakmaszorzók!$B$2:$D$25,3,0))</f>
        <v>2.85</v>
      </c>
      <c r="Q118" s="192">
        <f>'Támogatás szorzat tényezői'!$C$2*'Támogatás szorzat tényezői'!$C$3*N118*P118</f>
        <v>1026000</v>
      </c>
      <c r="R118" s="192">
        <f>'Támogatás szorzat tényezői'!$C$2*'Támogatás szorzat tényezői'!$C$3*P118</f>
        <v>513000</v>
      </c>
    </row>
    <row r="119" spans="1:18" x14ac:dyDescent="0.25">
      <c r="A119" s="178">
        <v>148</v>
      </c>
      <c r="B119" s="177" t="s">
        <v>1378</v>
      </c>
      <c r="C119" s="178" t="s">
        <v>1287</v>
      </c>
      <c r="D119" s="178">
        <v>4</v>
      </c>
      <c r="E119" s="178">
        <v>714</v>
      </c>
      <c r="F119" s="178">
        <v>19</v>
      </c>
      <c r="G119" s="178">
        <v>13</v>
      </c>
      <c r="H119" s="178" t="str">
        <f t="shared" si="12"/>
        <v>0714</v>
      </c>
      <c r="I119" s="178">
        <f t="shared" si="13"/>
        <v>19</v>
      </c>
      <c r="J119" s="178">
        <f t="shared" si="14"/>
        <v>13</v>
      </c>
      <c r="K119" s="178" t="str">
        <f t="shared" si="15"/>
        <v>4 0714 19 13</v>
      </c>
      <c r="L119" s="177" t="s">
        <v>1378</v>
      </c>
      <c r="M119" s="178">
        <v>3</v>
      </c>
      <c r="N119" s="178">
        <v>2</v>
      </c>
      <c r="O119" s="178">
        <v>5</v>
      </c>
      <c r="P119" s="191">
        <f>IF(D119=4,VLOOKUP(C119,Szakmaszorzók!$B$2:$D$25,2,0),VLOOKUP(C119,Szakmaszorzók!$B$2:$D$25,3,0))</f>
        <v>2.85</v>
      </c>
      <c r="Q119" s="192">
        <f>'Támogatás szorzat tényezői'!$C$2*'Támogatás szorzat tényezői'!$C$3*N119*P119</f>
        <v>1026000</v>
      </c>
      <c r="R119" s="192">
        <f>'Támogatás szorzat tényezői'!$C$2*'Támogatás szorzat tényezői'!$C$3*P119</f>
        <v>513000</v>
      </c>
    </row>
    <row r="120" spans="1:18" x14ac:dyDescent="0.25">
      <c r="A120" s="178">
        <v>57</v>
      </c>
      <c r="B120" s="177" t="s">
        <v>228</v>
      </c>
      <c r="C120" s="178" t="s">
        <v>1282</v>
      </c>
      <c r="D120" s="178">
        <v>5</v>
      </c>
      <c r="E120" s="178">
        <v>732</v>
      </c>
      <c r="F120" s="178">
        <v>6</v>
      </c>
      <c r="G120" s="178">
        <v>10</v>
      </c>
      <c r="H120" s="178" t="str">
        <f t="shared" si="12"/>
        <v>0732</v>
      </c>
      <c r="I120" s="178" t="str">
        <f t="shared" si="13"/>
        <v>06</v>
      </c>
      <c r="J120" s="178">
        <f t="shared" si="14"/>
        <v>10</v>
      </c>
      <c r="K120" s="178" t="str">
        <f t="shared" si="15"/>
        <v>5 0732 06 10</v>
      </c>
      <c r="L120" s="177" t="s">
        <v>228</v>
      </c>
      <c r="M120" s="178">
        <v>5</v>
      </c>
      <c r="N120" s="178">
        <v>2</v>
      </c>
      <c r="O120" s="178">
        <v>5</v>
      </c>
      <c r="P120" s="191">
        <f>IF(D120=4,VLOOKUP(C120,Szakmaszorzók!$B$2:$D$25,2,0),VLOOKUP(C120,Szakmaszorzók!$B$2:$D$25,3,0))</f>
        <v>2.42</v>
      </c>
      <c r="Q120" s="192">
        <f>'Támogatás szorzat tényezői'!$C$2*'Támogatás szorzat tényezői'!$C$3*N120*P120</f>
        <v>871200</v>
      </c>
      <c r="R120" s="192">
        <f>'Támogatás szorzat tényezői'!$C$2*'Támogatás szorzat tényezői'!$C$3*P120</f>
        <v>435600</v>
      </c>
    </row>
    <row r="121" spans="1:18" x14ac:dyDescent="0.25">
      <c r="A121" s="178" t="s">
        <v>1986</v>
      </c>
      <c r="B121" s="177" t="s">
        <v>231</v>
      </c>
      <c r="C121" s="178" t="s">
        <v>1285</v>
      </c>
      <c r="D121" s="178">
        <v>5</v>
      </c>
      <c r="E121" s="178">
        <v>913</v>
      </c>
      <c r="F121" s="178">
        <v>3</v>
      </c>
      <c r="G121" s="178">
        <v>11</v>
      </c>
      <c r="H121" s="178" t="str">
        <f t="shared" si="12"/>
        <v>0913</v>
      </c>
      <c r="I121" s="178" t="str">
        <f t="shared" si="13"/>
        <v>03</v>
      </c>
      <c r="J121" s="178">
        <f t="shared" si="14"/>
        <v>11</v>
      </c>
      <c r="K121" s="178" t="str">
        <f t="shared" si="15"/>
        <v>5 0913 03 11</v>
      </c>
      <c r="L121" s="177" t="s">
        <v>231</v>
      </c>
      <c r="M121" s="178">
        <v>5</v>
      </c>
      <c r="N121" s="178">
        <v>2</v>
      </c>
      <c r="O121" s="178">
        <v>5</v>
      </c>
      <c r="P121" s="191">
        <f>IF(D121=4,VLOOKUP(C121,Szakmaszorzók!$B$2:$D$25,2,0),VLOOKUP(C121,Szakmaszorzók!$B$2:$D$25,3,0))</f>
        <v>2.2000000000000002</v>
      </c>
      <c r="Q121" s="192">
        <f>'Támogatás szorzat tényezői'!$C$2*'Támogatás szorzat tényezői'!$C$3*N121*P121</f>
        <v>792000.00000000012</v>
      </c>
      <c r="R121" s="192">
        <f>'Támogatás szorzat tényezői'!$C$2*'Támogatás szorzat tényezői'!$C$3*P121</f>
        <v>396000.00000000006</v>
      </c>
    </row>
    <row r="122" spans="1:18" x14ac:dyDescent="0.25">
      <c r="A122" s="178">
        <v>130</v>
      </c>
      <c r="B122" s="177" t="s">
        <v>234</v>
      </c>
      <c r="C122" s="178" t="s">
        <v>1316</v>
      </c>
      <c r="D122" s="178">
        <v>4</v>
      </c>
      <c r="E122" s="178">
        <v>810</v>
      </c>
      <c r="F122" s="178">
        <v>17</v>
      </c>
      <c r="G122" s="178">
        <v>7</v>
      </c>
      <c r="H122" s="178" t="str">
        <f t="shared" si="12"/>
        <v>0810</v>
      </c>
      <c r="I122" s="178">
        <f t="shared" si="13"/>
        <v>17</v>
      </c>
      <c r="J122" s="178" t="str">
        <f t="shared" si="14"/>
        <v>07</v>
      </c>
      <c r="K122" s="178" t="str">
        <f t="shared" si="15"/>
        <v>4 0810 17 07</v>
      </c>
      <c r="L122" s="177" t="s">
        <v>234</v>
      </c>
      <c r="M122" s="178">
        <v>3</v>
      </c>
      <c r="N122" s="178">
        <v>2</v>
      </c>
      <c r="O122" s="178">
        <v>4</v>
      </c>
      <c r="P122" s="191">
        <f>IF(D122=4,VLOOKUP(C122,Szakmaszorzók!$B$2:$D$25,2,0),VLOOKUP(C122,Szakmaszorzók!$B$2:$D$25,3,0))</f>
        <v>2.42</v>
      </c>
      <c r="Q122" s="192">
        <f>'Támogatás szorzat tényezői'!$C$2*'Támogatás szorzat tényezői'!$C$3*N122*P122</f>
        <v>871200</v>
      </c>
      <c r="R122" s="192">
        <f>'Támogatás szorzat tényezői'!$C$2*'Támogatás szorzat tényezői'!$C$3*P122</f>
        <v>435600</v>
      </c>
    </row>
    <row r="123" spans="1:18" x14ac:dyDescent="0.25">
      <c r="A123" s="178">
        <v>131</v>
      </c>
      <c r="B123" s="177" t="s">
        <v>235</v>
      </c>
      <c r="C123" s="178" t="s">
        <v>1316</v>
      </c>
      <c r="D123" s="178">
        <v>5</v>
      </c>
      <c r="E123" s="178">
        <v>810</v>
      </c>
      <c r="F123" s="178">
        <v>17</v>
      </c>
      <c r="G123" s="178">
        <v>8</v>
      </c>
      <c r="H123" s="178" t="str">
        <f t="shared" si="12"/>
        <v>0810</v>
      </c>
      <c r="I123" s="178">
        <f t="shared" si="13"/>
        <v>17</v>
      </c>
      <c r="J123" s="178" t="str">
        <f t="shared" si="14"/>
        <v>08</v>
      </c>
      <c r="K123" s="178" t="str">
        <f t="shared" si="15"/>
        <v>5 0810 17 08</v>
      </c>
      <c r="L123" s="177" t="s">
        <v>235</v>
      </c>
      <c r="M123" s="178">
        <v>5</v>
      </c>
      <c r="N123" s="178">
        <v>2</v>
      </c>
      <c r="O123" s="178">
        <v>5</v>
      </c>
      <c r="P123" s="191">
        <f>IF(D123=4,VLOOKUP(C123,Szakmaszorzók!$B$2:$D$25,2,0),VLOOKUP(C123,Szakmaszorzók!$B$2:$D$25,3,0))</f>
        <v>2.85</v>
      </c>
      <c r="Q123" s="192">
        <f>'Támogatás szorzat tényezői'!$C$2*'Támogatás szorzat tényezői'!$C$3*N123*P123</f>
        <v>1026000</v>
      </c>
      <c r="R123" s="192">
        <f>'Támogatás szorzat tényezői'!$C$2*'Támogatás szorzat tényezői'!$C$3*P123</f>
        <v>513000</v>
      </c>
    </row>
    <row r="124" spans="1:18" x14ac:dyDescent="0.25">
      <c r="A124" s="178">
        <v>132</v>
      </c>
      <c r="B124" s="177" t="s">
        <v>239</v>
      </c>
      <c r="C124" s="178" t="s">
        <v>1316</v>
      </c>
      <c r="D124" s="178">
        <v>5</v>
      </c>
      <c r="E124" s="178">
        <v>811</v>
      </c>
      <c r="F124" s="178">
        <v>17</v>
      </c>
      <c r="G124" s="178">
        <v>9</v>
      </c>
      <c r="H124" s="178" t="str">
        <f t="shared" si="12"/>
        <v>0811</v>
      </c>
      <c r="I124" s="178">
        <f t="shared" si="13"/>
        <v>17</v>
      </c>
      <c r="J124" s="178" t="str">
        <f t="shared" si="14"/>
        <v>09</v>
      </c>
      <c r="K124" s="178" t="str">
        <f t="shared" si="15"/>
        <v>5 0811 17 09</v>
      </c>
      <c r="L124" s="177" t="s">
        <v>239</v>
      </c>
      <c r="M124" s="178">
        <v>5</v>
      </c>
      <c r="N124" s="178">
        <v>2</v>
      </c>
      <c r="O124" s="178">
        <v>5</v>
      </c>
      <c r="P124" s="191">
        <f>IF(D124=4,VLOOKUP(C124,Szakmaszorzók!$B$2:$D$25,2,0),VLOOKUP(C124,Szakmaszorzók!$B$2:$D$25,3,0))</f>
        <v>2.85</v>
      </c>
      <c r="Q124" s="192">
        <f>'Támogatás szorzat tényezői'!$C$2*'Támogatás szorzat tényezői'!$C$3*N124*P124</f>
        <v>1026000</v>
      </c>
      <c r="R124" s="192">
        <f>'Támogatás szorzat tényezői'!$C$2*'Támogatás szorzat tényezői'!$C$3*P124</f>
        <v>513000</v>
      </c>
    </row>
    <row r="125" spans="1:18" x14ac:dyDescent="0.25">
      <c r="A125" s="178">
        <v>119</v>
      </c>
      <c r="B125" s="177" t="s">
        <v>243</v>
      </c>
      <c r="C125" s="178" t="s">
        <v>1298</v>
      </c>
      <c r="D125" s="178">
        <v>5</v>
      </c>
      <c r="E125" s="178">
        <v>211</v>
      </c>
      <c r="F125" s="178">
        <v>16</v>
      </c>
      <c r="G125" s="178">
        <v>10</v>
      </c>
      <c r="H125" s="178" t="str">
        <f t="shared" si="12"/>
        <v>0211</v>
      </c>
      <c r="I125" s="178">
        <f t="shared" si="13"/>
        <v>16</v>
      </c>
      <c r="J125" s="178">
        <f t="shared" si="14"/>
        <v>10</v>
      </c>
      <c r="K125" s="178" t="str">
        <f t="shared" si="15"/>
        <v>5 0211 16 10</v>
      </c>
      <c r="L125" s="177" t="s">
        <v>243</v>
      </c>
      <c r="M125" s="178">
        <v>5</v>
      </c>
      <c r="N125" s="178">
        <v>2</v>
      </c>
      <c r="O125" s="178">
        <v>5</v>
      </c>
      <c r="P125" s="191">
        <f>IF(D125=4,VLOOKUP(C125,Szakmaszorzók!$B$2:$D$25,2,0),VLOOKUP(C125,Szakmaszorzók!$B$2:$D$25,3,0))</f>
        <v>2.42</v>
      </c>
      <c r="Q125" s="192">
        <f>'Támogatás szorzat tényezői'!$C$2*'Támogatás szorzat tényezői'!$C$3*N125*P125</f>
        <v>871200</v>
      </c>
      <c r="R125" s="192">
        <f>'Támogatás szorzat tényezői'!$C$2*'Támogatás szorzat tényezői'!$C$3*P125</f>
        <v>435600</v>
      </c>
    </row>
    <row r="126" spans="1:18" x14ac:dyDescent="0.25">
      <c r="A126" s="178">
        <v>171</v>
      </c>
      <c r="B126" s="177" t="s">
        <v>1379</v>
      </c>
      <c r="C126" s="178" t="s">
        <v>1280</v>
      </c>
      <c r="D126" s="178">
        <v>4</v>
      </c>
      <c r="E126" s="178">
        <v>722</v>
      </c>
      <c r="F126" s="178">
        <v>24</v>
      </c>
      <c r="G126" s="178">
        <v>4</v>
      </c>
      <c r="H126" s="178" t="str">
        <f t="shared" si="12"/>
        <v>0722</v>
      </c>
      <c r="I126" s="178">
        <f t="shared" si="13"/>
        <v>24</v>
      </c>
      <c r="J126" s="178" t="str">
        <f t="shared" si="14"/>
        <v>04</v>
      </c>
      <c r="K126" s="178" t="str">
        <f t="shared" si="15"/>
        <v>4 0722 24 04</v>
      </c>
      <c r="L126" s="177" t="s">
        <v>1379</v>
      </c>
      <c r="M126" s="178">
        <v>3</v>
      </c>
      <c r="N126" s="178">
        <v>2</v>
      </c>
      <c r="O126" s="178">
        <v>4</v>
      </c>
      <c r="P126" s="191">
        <f>IF(D126=4,VLOOKUP(C126,Szakmaszorzók!$B$2:$D$25,2,0),VLOOKUP(C126,Szakmaszorzók!$B$2:$D$25,3,0))</f>
        <v>2.42</v>
      </c>
      <c r="Q126" s="192">
        <f>'Támogatás szorzat tényezői'!$C$2*'Támogatás szorzat tényezői'!$C$3*N126*P126</f>
        <v>871200</v>
      </c>
      <c r="R126" s="192">
        <f>'Támogatás szorzat tényezői'!$C$2*'Támogatás szorzat tényezői'!$C$3*P126</f>
        <v>435600</v>
      </c>
    </row>
    <row r="127" spans="1:18" x14ac:dyDescent="0.25">
      <c r="A127" s="178">
        <v>172</v>
      </c>
      <c r="B127" s="177" t="s">
        <v>1380</v>
      </c>
      <c r="C127" s="178" t="s">
        <v>1280</v>
      </c>
      <c r="D127" s="178">
        <v>5</v>
      </c>
      <c r="E127" s="178">
        <v>722</v>
      </c>
      <c r="F127" s="178">
        <v>24</v>
      </c>
      <c r="G127" s="178">
        <v>5</v>
      </c>
      <c r="H127" s="178" t="str">
        <f t="shared" si="12"/>
        <v>0722</v>
      </c>
      <c r="I127" s="178">
        <f t="shared" si="13"/>
        <v>24</v>
      </c>
      <c r="J127" s="178" t="str">
        <f t="shared" si="14"/>
        <v>05</v>
      </c>
      <c r="K127" s="178" t="str">
        <f t="shared" si="15"/>
        <v>5 0722 24 05</v>
      </c>
      <c r="L127" s="177" t="s">
        <v>1380</v>
      </c>
      <c r="M127" s="178">
        <v>5</v>
      </c>
      <c r="N127" s="178">
        <v>2</v>
      </c>
      <c r="O127" s="178">
        <v>5</v>
      </c>
      <c r="P127" s="191">
        <f>IF(D127=4,VLOOKUP(C127,Szakmaszorzók!$B$2:$D$25,2,0),VLOOKUP(C127,Szakmaszorzók!$B$2:$D$25,3,0))</f>
        <v>2.85</v>
      </c>
      <c r="Q127" s="192">
        <f>'Támogatás szorzat tényezői'!$C$2*'Támogatás szorzat tényezői'!$C$3*N127*P127</f>
        <v>1026000</v>
      </c>
      <c r="R127" s="192">
        <f>'Támogatás szorzat tényezői'!$C$2*'Támogatás szorzat tényezői'!$C$3*P127</f>
        <v>513000</v>
      </c>
    </row>
    <row r="128" spans="1:18" x14ac:dyDescent="0.25">
      <c r="A128" s="178">
        <v>120</v>
      </c>
      <c r="B128" s="177" t="s">
        <v>292</v>
      </c>
      <c r="C128" s="178" t="s">
        <v>1298</v>
      </c>
      <c r="D128" s="178">
        <v>5</v>
      </c>
      <c r="E128" s="178">
        <v>211</v>
      </c>
      <c r="F128" s="178">
        <v>16</v>
      </c>
      <c r="G128" s="178">
        <v>11</v>
      </c>
      <c r="H128" s="178" t="str">
        <f t="shared" si="12"/>
        <v>0211</v>
      </c>
      <c r="I128" s="178">
        <f t="shared" si="13"/>
        <v>16</v>
      </c>
      <c r="J128" s="178">
        <f t="shared" si="14"/>
        <v>11</v>
      </c>
      <c r="K128" s="178" t="str">
        <f t="shared" si="15"/>
        <v>5 0211 16 11</v>
      </c>
      <c r="L128" s="177" t="s">
        <v>292</v>
      </c>
      <c r="M128" s="178">
        <v>5</v>
      </c>
      <c r="N128" s="178">
        <v>2</v>
      </c>
      <c r="O128" s="178">
        <v>5</v>
      </c>
      <c r="P128" s="191">
        <f>IF(D128=4,VLOOKUP(C128,Szakmaszorzók!$B$2:$D$25,2,0),VLOOKUP(C128,Szakmaszorzók!$B$2:$D$25,3,0))</f>
        <v>2.42</v>
      </c>
      <c r="Q128" s="192">
        <f>'Támogatás szorzat tényezői'!$C$2*'Támogatás szorzat tényezői'!$C$3*N128*P128</f>
        <v>871200</v>
      </c>
      <c r="R128" s="192">
        <f>'Támogatás szorzat tényezői'!$C$2*'Támogatás szorzat tényezői'!$C$3*P128</f>
        <v>435600</v>
      </c>
    </row>
    <row r="129" spans="1:18" x14ac:dyDescent="0.25">
      <c r="A129" s="178">
        <v>121</v>
      </c>
      <c r="B129" s="177" t="s">
        <v>1381</v>
      </c>
      <c r="C129" s="178" t="s">
        <v>1298</v>
      </c>
      <c r="D129" s="178">
        <v>4</v>
      </c>
      <c r="E129" s="178">
        <v>211</v>
      </c>
      <c r="F129" s="178">
        <v>16</v>
      </c>
      <c r="G129" s="178">
        <v>12</v>
      </c>
      <c r="H129" s="178" t="str">
        <f t="shared" si="12"/>
        <v>0211</v>
      </c>
      <c r="I129" s="178">
        <f t="shared" si="13"/>
        <v>16</v>
      </c>
      <c r="J129" s="178">
        <f t="shared" si="14"/>
        <v>12</v>
      </c>
      <c r="K129" s="178" t="str">
        <f t="shared" si="15"/>
        <v>4 0211 16 12</v>
      </c>
      <c r="L129" s="177" t="s">
        <v>1381</v>
      </c>
      <c r="M129" s="178">
        <v>3</v>
      </c>
      <c r="N129" s="178">
        <v>2</v>
      </c>
      <c r="O129" s="178">
        <v>4</v>
      </c>
      <c r="P129" s="191">
        <f>IF(D129=4,VLOOKUP(C129,Szakmaszorzók!$B$2:$D$25,2,0),VLOOKUP(C129,Szakmaszorzók!$B$2:$D$25,3,0))</f>
        <v>2.42</v>
      </c>
      <c r="Q129" s="192">
        <f>'Támogatás szorzat tényezői'!$C$2*'Támogatás szorzat tényezői'!$C$3*N129*P129</f>
        <v>871200</v>
      </c>
      <c r="R129" s="192">
        <f>'Támogatás szorzat tényezői'!$C$2*'Támogatás szorzat tényezői'!$C$3*P129</f>
        <v>435600</v>
      </c>
    </row>
    <row r="130" spans="1:18" x14ac:dyDescent="0.25">
      <c r="A130" s="178" t="s">
        <v>3204</v>
      </c>
      <c r="B130" s="177" t="s">
        <v>3209</v>
      </c>
      <c r="C130" s="178" t="s">
        <v>3031</v>
      </c>
      <c r="D130" s="178">
        <v>5</v>
      </c>
      <c r="E130" s="178">
        <v>188</v>
      </c>
      <c r="F130" s="178">
        <v>25</v>
      </c>
      <c r="G130" s="178">
        <v>1</v>
      </c>
      <c r="H130" s="178" t="str">
        <f t="shared" si="12"/>
        <v>0188</v>
      </c>
      <c r="I130" s="178">
        <f t="shared" si="13"/>
        <v>25</v>
      </c>
      <c r="J130" s="178" t="str">
        <f t="shared" si="14"/>
        <v>01</v>
      </c>
      <c r="K130" s="178" t="str">
        <f t="shared" si="15"/>
        <v>5 0188 25 01</v>
      </c>
      <c r="L130" s="177" t="s">
        <v>3209</v>
      </c>
      <c r="M130" s="178">
        <v>5</v>
      </c>
      <c r="N130" s="178">
        <v>2</v>
      </c>
      <c r="O130" s="178">
        <v>5</v>
      </c>
      <c r="P130" s="210">
        <v>2.2000000000000002</v>
      </c>
      <c r="Q130" s="192">
        <f>'Támogatás szorzat tényezői'!$C$2*'Támogatás szorzat tényezői'!$C$3*N130*P130</f>
        <v>792000.00000000012</v>
      </c>
      <c r="R130" s="192">
        <f>'Támogatás szorzat tényezői'!$C$2*'Támogatás szorzat tényezői'!$C$3*P130</f>
        <v>396000.00000000006</v>
      </c>
    </row>
    <row r="131" spans="1:18" x14ac:dyDescent="0.25">
      <c r="A131" s="178">
        <v>11</v>
      </c>
      <c r="B131" s="177" t="s">
        <v>1382</v>
      </c>
      <c r="C131" s="178" t="s">
        <v>1328</v>
      </c>
      <c r="D131" s="178">
        <v>4</v>
      </c>
      <c r="E131" s="178">
        <v>914</v>
      </c>
      <c r="F131" s="178">
        <v>2</v>
      </c>
      <c r="G131" s="178">
        <v>2</v>
      </c>
      <c r="H131" s="178" t="str">
        <f t="shared" si="12"/>
        <v>0914</v>
      </c>
      <c r="I131" s="178" t="str">
        <f t="shared" si="13"/>
        <v>02</v>
      </c>
      <c r="J131" s="178" t="str">
        <f t="shared" si="14"/>
        <v>02</v>
      </c>
      <c r="K131" s="178" t="str">
        <f t="shared" si="15"/>
        <v>4 0914 02 02</v>
      </c>
      <c r="L131" s="177" t="s">
        <v>1382</v>
      </c>
      <c r="M131" s="178">
        <v>3</v>
      </c>
      <c r="N131" s="178">
        <v>2</v>
      </c>
      <c r="O131" s="178">
        <v>5</v>
      </c>
      <c r="P131" s="191">
        <f>IF(D131=4,VLOOKUP(C131,Szakmaszorzók!$B$2:$D$25,2,0),VLOOKUP(C131,Szakmaszorzók!$B$2:$D$25,3,0))</f>
        <v>2.85</v>
      </c>
      <c r="Q131" s="192">
        <f>'Támogatás szorzat tényezői'!$C$2*'Támogatás szorzat tényezői'!$C$3*N131*P131</f>
        <v>1026000</v>
      </c>
      <c r="R131" s="192">
        <f>'Támogatás szorzat tényezői'!$C$2*'Támogatás szorzat tényezői'!$C$3*P131</f>
        <v>513000</v>
      </c>
    </row>
    <row r="132" spans="1:18" x14ac:dyDescent="0.25">
      <c r="A132" s="178">
        <v>12</v>
      </c>
      <c r="B132" s="177" t="s">
        <v>1383</v>
      </c>
      <c r="C132" s="178" t="s">
        <v>1328</v>
      </c>
      <c r="D132" s="178">
        <v>5</v>
      </c>
      <c r="E132" s="178">
        <v>914</v>
      </c>
      <c r="F132" s="178">
        <v>2</v>
      </c>
      <c r="G132" s="178">
        <v>3</v>
      </c>
      <c r="H132" s="178" t="str">
        <f t="shared" si="12"/>
        <v>0914</v>
      </c>
      <c r="I132" s="178" t="str">
        <f t="shared" si="13"/>
        <v>02</v>
      </c>
      <c r="J132" s="178" t="str">
        <f t="shared" si="14"/>
        <v>03</v>
      </c>
      <c r="K132" s="178" t="str">
        <f t="shared" si="15"/>
        <v>5 0914 02 03</v>
      </c>
      <c r="L132" s="177" t="s">
        <v>1383</v>
      </c>
      <c r="M132" s="178" t="s">
        <v>374</v>
      </c>
      <c r="N132" s="178">
        <v>2</v>
      </c>
      <c r="O132" s="178">
        <v>6</v>
      </c>
      <c r="P132" s="191">
        <f>IF(D132=4,VLOOKUP(C132,Szakmaszorzók!$B$2:$D$25,2,0),VLOOKUP(C132,Szakmaszorzók!$B$2:$D$25,3,0))</f>
        <v>2.85</v>
      </c>
      <c r="Q132" s="192">
        <f>'Támogatás szorzat tényezői'!$C$2*'Támogatás szorzat tényezői'!$C$3*N132*P132</f>
        <v>1026000</v>
      </c>
      <c r="R132" s="192">
        <f>'Támogatás szorzat tényezői'!$C$2*'Támogatás szorzat tényezői'!$C$3*P132</f>
        <v>513000</v>
      </c>
    </row>
    <row r="133" spans="1:18" x14ac:dyDescent="0.25">
      <c r="A133" s="178">
        <v>18</v>
      </c>
      <c r="B133" s="177" t="s">
        <v>262</v>
      </c>
      <c r="C133" s="178" t="s">
        <v>1285</v>
      </c>
      <c r="D133" s="178">
        <v>5</v>
      </c>
      <c r="E133" s="178">
        <v>915</v>
      </c>
      <c r="F133" s="178">
        <v>3</v>
      </c>
      <c r="G133" s="178">
        <v>6</v>
      </c>
      <c r="H133" s="178" t="str">
        <f t="shared" si="12"/>
        <v>0915</v>
      </c>
      <c r="I133" s="178" t="str">
        <f t="shared" si="13"/>
        <v>03</v>
      </c>
      <c r="J133" s="178" t="str">
        <f t="shared" si="14"/>
        <v>06</v>
      </c>
      <c r="K133" s="178" t="str">
        <f t="shared" si="15"/>
        <v>5 0915 03 06</v>
      </c>
      <c r="L133" s="177" t="s">
        <v>262</v>
      </c>
      <c r="M133" s="178" t="s">
        <v>764</v>
      </c>
      <c r="N133" s="178">
        <v>2</v>
      </c>
      <c r="O133" s="178">
        <v>5</v>
      </c>
      <c r="P133" s="191">
        <f>IF(D133=4,VLOOKUP(C133,Szakmaszorzók!$B$2:$D$25,2,0),VLOOKUP(C133,Szakmaszorzók!$B$2:$D$25,3,0))</f>
        <v>2.2000000000000002</v>
      </c>
      <c r="Q133" s="192">
        <f>'Támogatás szorzat tényezői'!$C$2*'Támogatás szorzat tényezői'!$C$3*N133*P133</f>
        <v>792000.00000000012</v>
      </c>
      <c r="R133" s="192">
        <f>'Támogatás szorzat tényezői'!$C$2*'Támogatás szorzat tényezői'!$C$3*P133</f>
        <v>396000.00000000006</v>
      </c>
    </row>
    <row r="134" spans="1:18" x14ac:dyDescent="0.25">
      <c r="A134" s="178">
        <v>9</v>
      </c>
      <c r="B134" s="177" t="s">
        <v>1385</v>
      </c>
      <c r="C134" s="178" t="s">
        <v>1293</v>
      </c>
      <c r="D134" s="178">
        <v>4</v>
      </c>
      <c r="E134" s="178">
        <v>715</v>
      </c>
      <c r="F134" s="178">
        <v>1</v>
      </c>
      <c r="G134" s="178">
        <v>7</v>
      </c>
      <c r="H134" s="178" t="str">
        <f t="shared" si="12"/>
        <v>0715</v>
      </c>
      <c r="I134" s="178" t="str">
        <f t="shared" si="13"/>
        <v>01</v>
      </c>
      <c r="J134" s="178" t="str">
        <f t="shared" si="14"/>
        <v>07</v>
      </c>
      <c r="K134" s="178" t="str">
        <f t="shared" si="15"/>
        <v>4 0715 01 07</v>
      </c>
      <c r="L134" s="177" t="s">
        <v>1385</v>
      </c>
      <c r="M134" s="178">
        <v>3</v>
      </c>
      <c r="N134" s="178">
        <v>2</v>
      </c>
      <c r="O134" s="178">
        <v>5</v>
      </c>
      <c r="P134" s="191">
        <f>IF(D134=4,VLOOKUP(C134,Szakmaszorzók!$B$2:$D$25,2,0),VLOOKUP(C134,Szakmaszorzók!$B$2:$D$25,3,0))</f>
        <v>2.42</v>
      </c>
      <c r="Q134" s="192">
        <f>'Támogatás szorzat tényezői'!$C$2*'Támogatás szorzat tényezői'!$C$3*N134*P134</f>
        <v>871200</v>
      </c>
      <c r="R134" s="192">
        <f>'Támogatás szorzat tényezői'!$C$2*'Támogatás szorzat tényezői'!$C$3*P134</f>
        <v>435600</v>
      </c>
    </row>
    <row r="135" spans="1:18" x14ac:dyDescent="0.25">
      <c r="A135" s="178">
        <v>162</v>
      </c>
      <c r="B135" s="177" t="s">
        <v>1386</v>
      </c>
      <c r="C135" s="178" t="s">
        <v>1303</v>
      </c>
      <c r="D135" s="178">
        <v>4</v>
      </c>
      <c r="E135" s="178">
        <v>1013</v>
      </c>
      <c r="F135" s="178">
        <v>23</v>
      </c>
      <c r="G135" s="178">
        <v>3</v>
      </c>
      <c r="H135" s="178">
        <f t="shared" ref="H135:H166" si="16">IF(E135&lt;1000,"0"&amp;E135,E135)</f>
        <v>1013</v>
      </c>
      <c r="I135" s="178">
        <f t="shared" ref="I135:I166" si="17">IF(F135&lt;10,"0"&amp;F135,F135)</f>
        <v>23</v>
      </c>
      <c r="J135" s="178" t="str">
        <f t="shared" ref="J135:J166" si="18">IF(G135&lt;10,"0"&amp;G135,G135)</f>
        <v>03</v>
      </c>
      <c r="K135" s="178" t="str">
        <f t="shared" ref="K135:K166" si="19">D135&amp;" "&amp;H135&amp;" "&amp;I135&amp;" "&amp;J135</f>
        <v>4 1013 23 03</v>
      </c>
      <c r="L135" s="177" t="s">
        <v>1386</v>
      </c>
      <c r="M135" s="178">
        <v>3</v>
      </c>
      <c r="N135" s="178">
        <v>2</v>
      </c>
      <c r="O135" s="178">
        <v>6</v>
      </c>
      <c r="P135" s="191">
        <f>IF(D135=4,VLOOKUP(C135,Szakmaszorzók!$B$2:$D$25,2,0),VLOOKUP(C135,Szakmaszorzók!$B$2:$D$25,3,0))</f>
        <v>2.2000000000000002</v>
      </c>
      <c r="Q135" s="192">
        <f>'Támogatás szorzat tényezői'!$C$2*'Támogatás szorzat tényezői'!$C$3*N135*P135</f>
        <v>792000.00000000012</v>
      </c>
      <c r="R135" s="192">
        <f>'Támogatás szorzat tényezői'!$C$2*'Támogatás szorzat tényezői'!$C$3*P135</f>
        <v>396000.00000000006</v>
      </c>
    </row>
    <row r="136" spans="1:18" x14ac:dyDescent="0.25">
      <c r="A136" s="178">
        <v>173</v>
      </c>
      <c r="B136" s="177" t="s">
        <v>3210</v>
      </c>
      <c r="C136" s="178" t="s">
        <v>1280</v>
      </c>
      <c r="D136" s="178">
        <v>4</v>
      </c>
      <c r="E136" s="178">
        <v>722</v>
      </c>
      <c r="F136" s="178">
        <v>24</v>
      </c>
      <c r="G136" s="178">
        <v>6</v>
      </c>
      <c r="H136" s="178" t="str">
        <f t="shared" si="16"/>
        <v>0722</v>
      </c>
      <c r="I136" s="178">
        <f t="shared" si="17"/>
        <v>24</v>
      </c>
      <c r="J136" s="178" t="str">
        <f t="shared" si="18"/>
        <v>06</v>
      </c>
      <c r="K136" s="178" t="str">
        <f t="shared" si="19"/>
        <v>4 0722 24 06</v>
      </c>
      <c r="L136" s="177" t="s">
        <v>3210</v>
      </c>
      <c r="M136" s="178">
        <v>3</v>
      </c>
      <c r="N136" s="178">
        <v>2</v>
      </c>
      <c r="O136" s="178">
        <v>5</v>
      </c>
      <c r="P136" s="191">
        <f>IF(D136=4,VLOOKUP(C136,Szakmaszorzók!$B$2:$D$25,2,0),VLOOKUP(C136,Szakmaszorzók!$B$2:$D$25,3,0))</f>
        <v>2.42</v>
      </c>
      <c r="Q136" s="192">
        <f>'Támogatás szorzat tényezői'!$C$2*'Támogatás szorzat tényezői'!$C$3*N136*P136</f>
        <v>871200</v>
      </c>
      <c r="R136" s="192">
        <f>'Támogatás szorzat tényezői'!$C$2*'Támogatás szorzat tényezői'!$C$3*P136</f>
        <v>435600</v>
      </c>
    </row>
    <row r="137" spans="1:18" x14ac:dyDescent="0.25">
      <c r="A137" s="178">
        <v>174</v>
      </c>
      <c r="B137" s="177" t="s">
        <v>3211</v>
      </c>
      <c r="C137" s="178" t="s">
        <v>1280</v>
      </c>
      <c r="D137" s="178">
        <v>5</v>
      </c>
      <c r="E137" s="178">
        <v>722</v>
      </c>
      <c r="F137" s="178">
        <v>24</v>
      </c>
      <c r="G137" s="178">
        <v>7</v>
      </c>
      <c r="H137" s="178" t="str">
        <f t="shared" si="16"/>
        <v>0722</v>
      </c>
      <c r="I137" s="178">
        <f t="shared" si="17"/>
        <v>24</v>
      </c>
      <c r="J137" s="178" t="str">
        <f t="shared" si="18"/>
        <v>07</v>
      </c>
      <c r="K137" s="178" t="str">
        <f t="shared" si="19"/>
        <v>5 0722 24 07</v>
      </c>
      <c r="L137" s="177" t="s">
        <v>3211</v>
      </c>
      <c r="M137" s="178">
        <v>5</v>
      </c>
      <c r="N137" s="178">
        <v>2</v>
      </c>
      <c r="O137" s="178">
        <v>6</v>
      </c>
      <c r="P137" s="191">
        <f>IF(D137=4,VLOOKUP(C137,Szakmaszorzók!$B$2:$D$25,2,0),VLOOKUP(C137,Szakmaszorzók!$B$2:$D$25,3,0))</f>
        <v>2.85</v>
      </c>
      <c r="Q137" s="192">
        <f>'Támogatás szorzat tényezői'!$C$2*'Támogatás szorzat tényezői'!$C$3*N137*P137</f>
        <v>1026000</v>
      </c>
      <c r="R137" s="192">
        <f>'Támogatás szorzat tényezői'!$C$2*'Támogatás szorzat tényezői'!$C$3*P137</f>
        <v>513000</v>
      </c>
    </row>
    <row r="138" spans="1:18" x14ac:dyDescent="0.25">
      <c r="A138" s="178">
        <v>40</v>
      </c>
      <c r="B138" s="177" t="s">
        <v>269</v>
      </c>
      <c r="C138" s="178" t="s">
        <v>1296</v>
      </c>
      <c r="D138" s="178">
        <v>4</v>
      </c>
      <c r="E138" s="178">
        <v>721</v>
      </c>
      <c r="F138" s="178">
        <v>5</v>
      </c>
      <c r="G138" s="178">
        <v>11</v>
      </c>
      <c r="H138" s="178" t="str">
        <f t="shared" si="16"/>
        <v>0721</v>
      </c>
      <c r="I138" s="178" t="str">
        <f t="shared" si="17"/>
        <v>05</v>
      </c>
      <c r="J138" s="178">
        <f t="shared" si="18"/>
        <v>11</v>
      </c>
      <c r="K138" s="178" t="str">
        <f t="shared" si="19"/>
        <v>4 0721 05 11</v>
      </c>
      <c r="L138" s="177" t="s">
        <v>269</v>
      </c>
      <c r="M138" s="178">
        <v>3</v>
      </c>
      <c r="N138" s="178">
        <v>2</v>
      </c>
      <c r="O138" s="178">
        <v>4</v>
      </c>
      <c r="P138" s="210">
        <f>IF(D138=4,VLOOKUP(C138,Szakmaszorzók!$B$2:$D$25,2,0),VLOOKUP(C138,Szakmaszorzók!$B$2:$D$25,3,0))</f>
        <v>2.2000000000000002</v>
      </c>
      <c r="Q138" s="215">
        <f>'Támogatás szorzat tényezői'!$C$2*'Támogatás szorzat tényezői'!$C$3*N138*P138</f>
        <v>792000.00000000012</v>
      </c>
      <c r="R138" s="215">
        <f>'Támogatás szorzat tényezői'!$C$2*'Támogatás szorzat tényezői'!$C$3*P138</f>
        <v>396000.00000000006</v>
      </c>
    </row>
    <row r="139" spans="1:18" x14ac:dyDescent="0.25">
      <c r="A139" s="178">
        <v>41</v>
      </c>
      <c r="B139" s="177" t="s">
        <v>719</v>
      </c>
      <c r="C139" s="178" t="s">
        <v>1296</v>
      </c>
      <c r="D139" s="178">
        <v>4</v>
      </c>
      <c r="E139" s="178">
        <v>721</v>
      </c>
      <c r="F139" s="178">
        <v>5</v>
      </c>
      <c r="G139" s="178">
        <v>12</v>
      </c>
      <c r="H139" s="178" t="str">
        <f t="shared" si="16"/>
        <v>0721</v>
      </c>
      <c r="I139" s="178" t="str">
        <f t="shared" si="17"/>
        <v>05</v>
      </c>
      <c r="J139" s="178">
        <f t="shared" si="18"/>
        <v>12</v>
      </c>
      <c r="K139" s="178" t="str">
        <f t="shared" si="19"/>
        <v>4 0721 05 12</v>
      </c>
      <c r="L139" s="177" t="s">
        <v>719</v>
      </c>
      <c r="M139" s="178">
        <v>3</v>
      </c>
      <c r="N139" s="178">
        <v>2</v>
      </c>
      <c r="O139" s="178">
        <v>4</v>
      </c>
      <c r="P139" s="191">
        <f>IF(D139=4,VLOOKUP(C139,Szakmaszorzók!$B$2:$D$25,2,0),VLOOKUP(C139,Szakmaszorzók!$B$2:$D$25,3,0))</f>
        <v>2.2000000000000002</v>
      </c>
      <c r="Q139" s="192">
        <f>'Támogatás szorzat tényezői'!$C$2*'Támogatás szorzat tényezői'!$C$3*N139*P139</f>
        <v>792000.00000000012</v>
      </c>
      <c r="R139" s="192">
        <f>'Támogatás szorzat tényezői'!$C$2*'Támogatás szorzat tényezői'!$C$3*P139</f>
        <v>396000.00000000006</v>
      </c>
    </row>
    <row r="140" spans="1:18" x14ac:dyDescent="0.25">
      <c r="A140" s="178">
        <v>71</v>
      </c>
      <c r="B140" s="177" t="s">
        <v>272</v>
      </c>
      <c r="C140" s="178" t="s">
        <v>1389</v>
      </c>
      <c r="D140" s="178">
        <v>5</v>
      </c>
      <c r="E140" s="178">
        <v>411</v>
      </c>
      <c r="F140" s="178">
        <v>9</v>
      </c>
      <c r="G140" s="178">
        <v>1</v>
      </c>
      <c r="H140" s="178" t="str">
        <f t="shared" si="16"/>
        <v>0411</v>
      </c>
      <c r="I140" s="178" t="str">
        <f t="shared" si="17"/>
        <v>09</v>
      </c>
      <c r="J140" s="178" t="str">
        <f t="shared" si="18"/>
        <v>01</v>
      </c>
      <c r="K140" s="178" t="str">
        <f t="shared" si="19"/>
        <v>5 0411 09 01</v>
      </c>
      <c r="L140" s="177" t="s">
        <v>272</v>
      </c>
      <c r="M140" s="178">
        <v>5</v>
      </c>
      <c r="N140" s="178">
        <v>2</v>
      </c>
      <c r="O140" s="178">
        <v>6</v>
      </c>
      <c r="P140" s="191">
        <f>IF(D140=4,VLOOKUP(C140,Szakmaszorzók!$B$2:$D$25,2,0),VLOOKUP(C140,Szakmaszorzók!$B$2:$D$25,3,0))</f>
        <v>2.2000000000000002</v>
      </c>
      <c r="Q140" s="192">
        <f>'Támogatás szorzat tényezői'!$C$2*'Támogatás szorzat tényezői'!$C$3*N140*P140</f>
        <v>792000.00000000012</v>
      </c>
      <c r="R140" s="192">
        <f>'Támogatás szorzat tényezői'!$C$2*'Támogatás szorzat tényezői'!$C$3*P140</f>
        <v>396000.00000000006</v>
      </c>
    </row>
    <row r="141" spans="1:18" x14ac:dyDescent="0.25">
      <c r="A141" s="178">
        <v>19</v>
      </c>
      <c r="B141" s="177" t="s">
        <v>1390</v>
      </c>
      <c r="C141" s="178" t="s">
        <v>1285</v>
      </c>
      <c r="D141" s="178">
        <v>5</v>
      </c>
      <c r="E141" s="178">
        <v>910</v>
      </c>
      <c r="F141" s="178">
        <v>3</v>
      </c>
      <c r="G141" s="178">
        <v>7</v>
      </c>
      <c r="H141" s="178" t="str">
        <f t="shared" si="16"/>
        <v>0910</v>
      </c>
      <c r="I141" s="178" t="str">
        <f t="shared" si="17"/>
        <v>03</v>
      </c>
      <c r="J141" s="178" t="str">
        <f t="shared" si="18"/>
        <v>07</v>
      </c>
      <c r="K141" s="178" t="str">
        <f t="shared" si="19"/>
        <v>5 0910 03 07</v>
      </c>
      <c r="L141" s="177" t="s">
        <v>1390</v>
      </c>
      <c r="M141" s="178">
        <v>6</v>
      </c>
      <c r="N141" s="178">
        <v>3</v>
      </c>
      <c r="O141" s="178">
        <v>5</v>
      </c>
      <c r="P141" s="191">
        <f>IF(D141=4,VLOOKUP(C141,Szakmaszorzók!$B$2:$D$25,2,0),VLOOKUP(C141,Szakmaszorzók!$B$2:$D$25,3,0))</f>
        <v>2.2000000000000002</v>
      </c>
      <c r="Q141" s="192">
        <f>'Támogatás szorzat tényezői'!$C$2*'Támogatás szorzat tényezői'!$C$3*N141*P141</f>
        <v>1188000</v>
      </c>
      <c r="R141" s="192">
        <f>'Támogatás szorzat tényezői'!$C$2*'Támogatás szorzat tényezői'!$C$3*P141</f>
        <v>396000.00000000006</v>
      </c>
    </row>
    <row r="142" spans="1:18" x14ac:dyDescent="0.25">
      <c r="A142" s="178">
        <v>163</v>
      </c>
      <c r="B142" s="177" t="s">
        <v>1391</v>
      </c>
      <c r="C142" s="178" t="s">
        <v>1303</v>
      </c>
      <c r="D142" s="178">
        <v>4</v>
      </c>
      <c r="E142" s="178">
        <v>1013</v>
      </c>
      <c r="F142" s="178">
        <v>23</v>
      </c>
      <c r="G142" s="178">
        <v>4</v>
      </c>
      <c r="H142" s="178">
        <f t="shared" si="16"/>
        <v>1013</v>
      </c>
      <c r="I142" s="178">
        <f t="shared" si="17"/>
        <v>23</v>
      </c>
      <c r="J142" s="178" t="str">
        <f t="shared" si="18"/>
        <v>04</v>
      </c>
      <c r="K142" s="178" t="str">
        <f t="shared" si="19"/>
        <v>4 1013 23 04</v>
      </c>
      <c r="L142" s="177" t="s">
        <v>1391</v>
      </c>
      <c r="M142" s="178">
        <v>3</v>
      </c>
      <c r="N142" s="178">
        <v>2</v>
      </c>
      <c r="O142" s="178">
        <v>5</v>
      </c>
      <c r="P142" s="191">
        <f>IF(D142=4,VLOOKUP(C142,Szakmaszorzók!$B$2:$D$25,2,0),VLOOKUP(C142,Szakmaszorzók!$B$2:$D$25,3,0))</f>
        <v>2.2000000000000002</v>
      </c>
      <c r="Q142" s="192">
        <f>'Támogatás szorzat tényezői'!$C$2*'Támogatás szorzat tényezői'!$C$3*N142*P142</f>
        <v>792000.00000000012</v>
      </c>
      <c r="R142" s="192">
        <f>'Támogatás szorzat tényezői'!$C$2*'Támogatás szorzat tényezői'!$C$3*P142</f>
        <v>396000.00000000006</v>
      </c>
    </row>
    <row r="143" spans="1:18" x14ac:dyDescent="0.25">
      <c r="A143" s="178">
        <v>109</v>
      </c>
      <c r="B143" s="177" t="s">
        <v>274</v>
      </c>
      <c r="C143" s="178" t="s">
        <v>1340</v>
      </c>
      <c r="D143" s="178">
        <v>5</v>
      </c>
      <c r="E143" s="178">
        <v>1041</v>
      </c>
      <c r="F143" s="178">
        <v>15</v>
      </c>
      <c r="G143" s="178">
        <v>7</v>
      </c>
      <c r="H143" s="178">
        <f t="shared" si="16"/>
        <v>1041</v>
      </c>
      <c r="I143" s="178">
        <f t="shared" si="17"/>
        <v>15</v>
      </c>
      <c r="J143" s="178" t="str">
        <f t="shared" si="18"/>
        <v>07</v>
      </c>
      <c r="K143" s="178" t="str">
        <f t="shared" si="19"/>
        <v>5 1041 15 07</v>
      </c>
      <c r="L143" s="177" t="s">
        <v>274</v>
      </c>
      <c r="M143" s="178">
        <v>5</v>
      </c>
      <c r="N143" s="178">
        <v>2</v>
      </c>
      <c r="O143" s="178">
        <v>5</v>
      </c>
      <c r="P143" s="191">
        <f>IF(D143=4,VLOOKUP(C143,Szakmaszorzók!$B$2:$D$25,2,0),VLOOKUP(C143,Szakmaszorzók!$B$2:$D$25,3,0))</f>
        <v>2.2000000000000002</v>
      </c>
      <c r="Q143" s="192">
        <f>'Támogatás szorzat tényezői'!$C$2*'Támogatás szorzat tényezői'!$C$3*N143*P143</f>
        <v>792000.00000000012</v>
      </c>
      <c r="R143" s="192">
        <f>'Támogatás szorzat tényezői'!$C$2*'Támogatás szorzat tényezői'!$C$3*P143</f>
        <v>396000.00000000006</v>
      </c>
    </row>
    <row r="144" spans="1:18" x14ac:dyDescent="0.25">
      <c r="A144" s="178">
        <v>20</v>
      </c>
      <c r="B144" s="177" t="s">
        <v>1392</v>
      </c>
      <c r="C144" s="178" t="s">
        <v>1285</v>
      </c>
      <c r="D144" s="178">
        <v>5</v>
      </c>
      <c r="E144" s="178">
        <v>914</v>
      </c>
      <c r="F144" s="178">
        <v>3</v>
      </c>
      <c r="G144" s="178">
        <v>8</v>
      </c>
      <c r="H144" s="178" t="str">
        <f t="shared" si="16"/>
        <v>0914</v>
      </c>
      <c r="I144" s="178" t="str">
        <f t="shared" si="17"/>
        <v>03</v>
      </c>
      <c r="J144" s="178" t="str">
        <f t="shared" si="18"/>
        <v>08</v>
      </c>
      <c r="K144" s="178" t="str">
        <f t="shared" si="19"/>
        <v>5 0914 03 08</v>
      </c>
      <c r="L144" s="177" t="s">
        <v>1392</v>
      </c>
      <c r="M144" s="178">
        <v>6</v>
      </c>
      <c r="N144" s="178">
        <v>3</v>
      </c>
      <c r="O144" s="178">
        <v>6</v>
      </c>
      <c r="P144" s="191">
        <f>IF(D144=4,VLOOKUP(C144,Szakmaszorzók!$B$2:$D$25,2,0),VLOOKUP(C144,Szakmaszorzók!$B$2:$D$25,3,0))</f>
        <v>2.2000000000000002</v>
      </c>
      <c r="Q144" s="192">
        <f>'Támogatás szorzat tényezői'!$C$2*'Támogatás szorzat tényezői'!$C$3*N144*P144</f>
        <v>1188000</v>
      </c>
      <c r="R144" s="192">
        <f>'Támogatás szorzat tényezői'!$C$2*'Támogatás szorzat tényezői'!$C$3*P144</f>
        <v>396000.00000000006</v>
      </c>
    </row>
    <row r="145" spans="1:18" x14ac:dyDescent="0.25">
      <c r="A145" s="178">
        <v>21</v>
      </c>
      <c r="B145" s="177" t="s">
        <v>1975</v>
      </c>
      <c r="C145" s="178" t="s">
        <v>1285</v>
      </c>
      <c r="D145" s="178">
        <v>5</v>
      </c>
      <c r="E145" s="178">
        <v>923</v>
      </c>
      <c r="F145" s="178">
        <v>3</v>
      </c>
      <c r="G145" s="178">
        <v>9</v>
      </c>
      <c r="H145" s="178" t="str">
        <f t="shared" si="16"/>
        <v>0923</v>
      </c>
      <c r="I145" s="178" t="str">
        <f t="shared" si="17"/>
        <v>03</v>
      </c>
      <c r="J145" s="178" t="str">
        <f t="shared" si="18"/>
        <v>09</v>
      </c>
      <c r="K145" s="178" t="str">
        <f t="shared" si="19"/>
        <v>5 0923 03 09</v>
      </c>
      <c r="L145" s="177" t="s">
        <v>1975</v>
      </c>
      <c r="M145" s="178">
        <v>5</v>
      </c>
      <c r="N145" s="178">
        <v>2</v>
      </c>
      <c r="O145" s="178">
        <v>5</v>
      </c>
      <c r="P145" s="191">
        <f>IF(D145=4,VLOOKUP(C145,Szakmaszorzók!$B$2:$D$25,2,0),VLOOKUP(C145,Szakmaszorzók!$B$2:$D$25,3,0))</f>
        <v>2.2000000000000002</v>
      </c>
      <c r="Q145" s="192">
        <f>'Támogatás szorzat tényezői'!$C$2*'Támogatás szorzat tényezői'!$C$3*N145*P145</f>
        <v>792000.00000000012</v>
      </c>
      <c r="R145" s="192">
        <f>'Támogatás szorzat tényezői'!$C$2*'Támogatás szorzat tényezői'!$C$3*P145</f>
        <v>396000.00000000006</v>
      </c>
    </row>
    <row r="146" spans="1:18" x14ac:dyDescent="0.25">
      <c r="A146" s="178">
        <v>134</v>
      </c>
      <c r="B146" s="177" t="s">
        <v>1393</v>
      </c>
      <c r="C146" s="178" t="s">
        <v>1373</v>
      </c>
      <c r="D146" s="178">
        <v>4</v>
      </c>
      <c r="E146" s="178">
        <v>1032</v>
      </c>
      <c r="F146" s="178">
        <v>18</v>
      </c>
      <c r="G146" s="178">
        <v>2</v>
      </c>
      <c r="H146" s="178">
        <f t="shared" si="16"/>
        <v>1032</v>
      </c>
      <c r="I146" s="178">
        <f t="shared" si="17"/>
        <v>18</v>
      </c>
      <c r="J146" s="178" t="str">
        <f t="shared" si="18"/>
        <v>02</v>
      </c>
      <c r="K146" s="178" t="str">
        <f t="shared" si="19"/>
        <v>4 1032 18 02</v>
      </c>
      <c r="L146" s="177" t="s">
        <v>1393</v>
      </c>
      <c r="M146" s="178">
        <v>3</v>
      </c>
      <c r="N146" s="178">
        <v>2</v>
      </c>
      <c r="O146" s="178">
        <v>4</v>
      </c>
      <c r="P146" s="191">
        <f>IF(D146=4,VLOOKUP(C146,Szakmaszorzók!$B$2:$D$25,2,0),VLOOKUP(C146,Szakmaszorzók!$B$2:$D$25,3,0))</f>
        <v>2.2000000000000002</v>
      </c>
      <c r="Q146" s="192">
        <f>'Támogatás szorzat tényezői'!$C$2*'Támogatás szorzat tényezői'!$C$3*N146*P146</f>
        <v>792000.00000000012</v>
      </c>
      <c r="R146" s="192">
        <f>'Támogatás szorzat tényezői'!$C$2*'Támogatás szorzat tényezői'!$C$3*P146</f>
        <v>396000.00000000006</v>
      </c>
    </row>
    <row r="147" spans="1:18" x14ac:dyDescent="0.25">
      <c r="A147" s="178">
        <v>135</v>
      </c>
      <c r="B147" s="177" t="s">
        <v>1394</v>
      </c>
      <c r="C147" s="178" t="s">
        <v>1373</v>
      </c>
      <c r="D147" s="178">
        <v>5</v>
      </c>
      <c r="E147" s="178">
        <v>1032</v>
      </c>
      <c r="F147" s="178">
        <v>18</v>
      </c>
      <c r="G147" s="178">
        <v>3</v>
      </c>
      <c r="H147" s="178">
        <f t="shared" si="16"/>
        <v>1032</v>
      </c>
      <c r="I147" s="178">
        <f t="shared" si="17"/>
        <v>18</v>
      </c>
      <c r="J147" s="178" t="str">
        <f t="shared" si="18"/>
        <v>03</v>
      </c>
      <c r="K147" s="178" t="str">
        <f t="shared" si="19"/>
        <v>5 1032 18 03</v>
      </c>
      <c r="L147" s="177" t="s">
        <v>1394</v>
      </c>
      <c r="M147" s="178" t="s">
        <v>374</v>
      </c>
      <c r="N147" s="178">
        <v>2</v>
      </c>
      <c r="O147" s="178">
        <v>6</v>
      </c>
      <c r="P147" s="191">
        <f>IF(D147=4,VLOOKUP(C147,Szakmaszorzók!$B$2:$D$25,2,0),VLOOKUP(C147,Szakmaszorzók!$B$2:$D$25,3,0))</f>
        <v>2.2000000000000002</v>
      </c>
      <c r="Q147" s="192">
        <f>'Támogatás szorzat tényezői'!$C$2*'Támogatás szorzat tényezői'!$C$3*N147*P147</f>
        <v>792000.00000000012</v>
      </c>
      <c r="R147" s="192">
        <f>'Támogatás szorzat tényezői'!$C$2*'Támogatás szorzat tényezői'!$C$3*P147</f>
        <v>396000.00000000006</v>
      </c>
    </row>
    <row r="148" spans="1:18" x14ac:dyDescent="0.25">
      <c r="A148" s="178">
        <v>150</v>
      </c>
      <c r="B148" s="177" t="s">
        <v>1395</v>
      </c>
      <c r="C148" s="178" t="s">
        <v>1325</v>
      </c>
      <c r="D148" s="178">
        <v>5</v>
      </c>
      <c r="E148" s="178">
        <v>1014</v>
      </c>
      <c r="F148" s="178">
        <v>20</v>
      </c>
      <c r="G148" s="178">
        <v>2</v>
      </c>
      <c r="H148" s="178">
        <f t="shared" si="16"/>
        <v>1014</v>
      </c>
      <c r="I148" s="178">
        <f t="shared" si="17"/>
        <v>20</v>
      </c>
      <c r="J148" s="178" t="str">
        <f t="shared" si="18"/>
        <v>02</v>
      </c>
      <c r="K148" s="178" t="str">
        <f t="shared" si="19"/>
        <v>5 1014 20 02</v>
      </c>
      <c r="L148" s="177" t="s">
        <v>1395</v>
      </c>
      <c r="M148" s="178">
        <v>5</v>
      </c>
      <c r="N148" s="178">
        <v>2</v>
      </c>
      <c r="O148" s="178">
        <v>4</v>
      </c>
      <c r="P148" s="191">
        <f>IF(D148=4,VLOOKUP(C148,Szakmaszorzók!$B$2:$D$25,2,0),VLOOKUP(C148,Szakmaszorzók!$B$2:$D$25,3,0))</f>
        <v>2.2000000000000002</v>
      </c>
      <c r="Q148" s="192">
        <f>'Támogatás szorzat tényezői'!$C$2*'Támogatás szorzat tényezői'!$C$3*N148*P148</f>
        <v>792000.00000000012</v>
      </c>
      <c r="R148" s="192">
        <f>'Támogatás szorzat tényezői'!$C$2*'Támogatás szorzat tényezői'!$C$3*P148</f>
        <v>396000.00000000006</v>
      </c>
    </row>
    <row r="149" spans="1:18" x14ac:dyDescent="0.25">
      <c r="A149" s="178">
        <v>42</v>
      </c>
      <c r="B149" s="177" t="s">
        <v>1396</v>
      </c>
      <c r="C149" s="178" t="s">
        <v>1296</v>
      </c>
      <c r="D149" s="178">
        <v>5</v>
      </c>
      <c r="E149" s="178">
        <v>721</v>
      </c>
      <c r="F149" s="178">
        <v>5</v>
      </c>
      <c r="G149" s="178">
        <v>13</v>
      </c>
      <c r="H149" s="178" t="str">
        <f t="shared" si="16"/>
        <v>0721</v>
      </c>
      <c r="I149" s="178" t="str">
        <f t="shared" si="17"/>
        <v>05</v>
      </c>
      <c r="J149" s="178">
        <f t="shared" si="18"/>
        <v>13</v>
      </c>
      <c r="K149" s="178" t="str">
        <f t="shared" si="19"/>
        <v>5 0721 05 13</v>
      </c>
      <c r="L149" s="177" t="s">
        <v>1396</v>
      </c>
      <c r="M149" s="178">
        <v>5</v>
      </c>
      <c r="N149" s="178">
        <v>2</v>
      </c>
      <c r="O149" s="178">
        <v>6</v>
      </c>
      <c r="P149" s="191">
        <f>IF(D149=4,VLOOKUP(C149,Szakmaszorzók!$B$2:$D$25,2,0),VLOOKUP(C149,Szakmaszorzók!$B$2:$D$25,3,0))</f>
        <v>2.2000000000000002</v>
      </c>
      <c r="Q149" s="192">
        <f>'Támogatás szorzat tényezői'!$C$2*'Támogatás szorzat tényezői'!$C$3*N149*P149</f>
        <v>792000.00000000012</v>
      </c>
      <c r="R149" s="192">
        <f>'Támogatás szorzat tényezői'!$C$2*'Támogatás szorzat tényezői'!$C$3*P149</f>
        <v>396000.00000000006</v>
      </c>
    </row>
    <row r="150" spans="1:18" x14ac:dyDescent="0.25">
      <c r="A150" s="178">
        <v>164</v>
      </c>
      <c r="B150" s="177" t="s">
        <v>285</v>
      </c>
      <c r="C150" s="178" t="s">
        <v>1303</v>
      </c>
      <c r="D150" s="178">
        <v>4</v>
      </c>
      <c r="E150" s="178">
        <v>1013</v>
      </c>
      <c r="F150" s="178">
        <v>23</v>
      </c>
      <c r="G150" s="178">
        <v>5</v>
      </c>
      <c r="H150" s="178">
        <f t="shared" si="16"/>
        <v>1013</v>
      </c>
      <c r="I150" s="178">
        <f t="shared" si="17"/>
        <v>23</v>
      </c>
      <c r="J150" s="178" t="str">
        <f t="shared" si="18"/>
        <v>05</v>
      </c>
      <c r="K150" s="178" t="str">
        <f t="shared" si="19"/>
        <v>4 1013 23 05</v>
      </c>
      <c r="L150" s="177" t="s">
        <v>285</v>
      </c>
      <c r="M150" s="178">
        <v>3</v>
      </c>
      <c r="N150" s="178">
        <v>2</v>
      </c>
      <c r="O150" s="178">
        <v>5</v>
      </c>
      <c r="P150" s="191">
        <f>IF(D150=4,VLOOKUP(C150,Szakmaszorzók!$B$2:$D$25,2,0),VLOOKUP(C150,Szakmaszorzók!$B$2:$D$25,3,0))</f>
        <v>2.2000000000000002</v>
      </c>
      <c r="Q150" s="192">
        <f>'Támogatás szorzat tényezői'!$C$2*'Támogatás szorzat tényezői'!$C$3*N150*P150</f>
        <v>792000.00000000012</v>
      </c>
      <c r="R150" s="192">
        <f>'Támogatás szorzat tényezői'!$C$2*'Támogatás szorzat tényezői'!$C$3*P150</f>
        <v>396000.00000000006</v>
      </c>
    </row>
    <row r="151" spans="1:18" x14ac:dyDescent="0.25">
      <c r="A151" s="178">
        <v>165</v>
      </c>
      <c r="B151" s="177" t="s">
        <v>1397</v>
      </c>
      <c r="C151" s="178" t="s">
        <v>1303</v>
      </c>
      <c r="D151" s="178">
        <v>5</v>
      </c>
      <c r="E151" s="178">
        <v>1013</v>
      </c>
      <c r="F151" s="178">
        <v>23</v>
      </c>
      <c r="G151" s="178">
        <v>6</v>
      </c>
      <c r="H151" s="178">
        <f t="shared" si="16"/>
        <v>1013</v>
      </c>
      <c r="I151" s="178">
        <f t="shared" si="17"/>
        <v>23</v>
      </c>
      <c r="J151" s="178" t="str">
        <f t="shared" si="18"/>
        <v>06</v>
      </c>
      <c r="K151" s="178" t="str">
        <f t="shared" si="19"/>
        <v>5 1013 23 06</v>
      </c>
      <c r="L151" s="177" t="s">
        <v>1397</v>
      </c>
      <c r="M151" s="178">
        <v>5</v>
      </c>
      <c r="N151" s="178">
        <v>2</v>
      </c>
      <c r="O151" s="178">
        <v>6</v>
      </c>
      <c r="P151" s="191">
        <f>IF(D151=4,VLOOKUP(C151,Szakmaszorzók!$B$2:$D$25,2,0),VLOOKUP(C151,Szakmaszorzók!$B$2:$D$25,3,0))</f>
        <v>2.2000000000000002</v>
      </c>
      <c r="Q151" s="192">
        <f>'Támogatás szorzat tényezői'!$C$2*'Támogatás szorzat tényezői'!$C$3*N151*P151</f>
        <v>792000.00000000012</v>
      </c>
      <c r="R151" s="192">
        <f>'Támogatás szorzat tényezői'!$C$2*'Támogatás szorzat tényezői'!$C$3*P151</f>
        <v>396000.00000000006</v>
      </c>
    </row>
    <row r="152" spans="1:18" x14ac:dyDescent="0.25">
      <c r="A152" s="178">
        <v>58</v>
      </c>
      <c r="B152" s="177" t="s">
        <v>289</v>
      </c>
      <c r="C152" s="178" t="s">
        <v>1282</v>
      </c>
      <c r="D152" s="178">
        <v>4</v>
      </c>
      <c r="E152" s="178">
        <v>732</v>
      </c>
      <c r="F152" s="178">
        <v>6</v>
      </c>
      <c r="G152" s="178">
        <v>11</v>
      </c>
      <c r="H152" s="178" t="str">
        <f t="shared" si="16"/>
        <v>0732</v>
      </c>
      <c r="I152" s="178" t="str">
        <f t="shared" si="17"/>
        <v>06</v>
      </c>
      <c r="J152" s="178">
        <f t="shared" si="18"/>
        <v>11</v>
      </c>
      <c r="K152" s="178" t="str">
        <f t="shared" si="19"/>
        <v>4 0732 06 11</v>
      </c>
      <c r="L152" s="177" t="s">
        <v>289</v>
      </c>
      <c r="M152" s="178">
        <v>3</v>
      </c>
      <c r="N152" s="178">
        <v>2</v>
      </c>
      <c r="O152" s="178">
        <v>4</v>
      </c>
      <c r="P152" s="191">
        <f>IF(D152=4,VLOOKUP(C152,Szakmaszorzók!$B$2:$D$25,2,0),VLOOKUP(C152,Szakmaszorzók!$B$2:$D$25,3,0))</f>
        <v>2.42</v>
      </c>
      <c r="Q152" s="192">
        <f>'Támogatás szorzat tényezői'!$C$2*'Támogatás szorzat tényezői'!$C$3*N152*P152</f>
        <v>871200</v>
      </c>
      <c r="R152" s="192">
        <f>'Támogatás szorzat tényezői'!$C$2*'Támogatás szorzat tényezői'!$C$3*P152</f>
        <v>435600</v>
      </c>
    </row>
    <row r="153" spans="1:18" x14ac:dyDescent="0.25">
      <c r="A153" s="178">
        <v>59</v>
      </c>
      <c r="B153" s="177" t="s">
        <v>1398</v>
      </c>
      <c r="C153" s="178" t="s">
        <v>1282</v>
      </c>
      <c r="D153" s="178">
        <v>4</v>
      </c>
      <c r="E153" s="178">
        <v>732</v>
      </c>
      <c r="F153" s="178">
        <v>6</v>
      </c>
      <c r="G153" s="178">
        <v>12</v>
      </c>
      <c r="H153" s="178" t="str">
        <f t="shared" si="16"/>
        <v>0732</v>
      </c>
      <c r="I153" s="178" t="str">
        <f t="shared" si="17"/>
        <v>06</v>
      </c>
      <c r="J153" s="178">
        <f t="shared" si="18"/>
        <v>12</v>
      </c>
      <c r="K153" s="178" t="str">
        <f t="shared" si="19"/>
        <v>4 0732 06 12</v>
      </c>
      <c r="L153" s="177" t="s">
        <v>1398</v>
      </c>
      <c r="M153" s="178">
        <v>3</v>
      </c>
      <c r="N153" s="178">
        <v>2</v>
      </c>
      <c r="O153" s="178">
        <v>4</v>
      </c>
      <c r="P153" s="191">
        <f>IF(D153=4,VLOOKUP(C153,Szakmaszorzók!$B$2:$D$25,2,0),VLOOKUP(C153,Szakmaszorzók!$B$2:$D$25,3,0))</f>
        <v>2.42</v>
      </c>
      <c r="Q153" s="192">
        <f>'Támogatás szorzat tényezői'!$C$2*'Támogatás szorzat tényezői'!$C$3*N153*P153</f>
        <v>871200</v>
      </c>
      <c r="R153" s="192">
        <f>'Támogatás szorzat tényezői'!$C$2*'Támogatás szorzat tényezői'!$C$3*P153</f>
        <v>435600</v>
      </c>
    </row>
    <row r="154" spans="1:18" x14ac:dyDescent="0.25">
      <c r="A154" s="178">
        <v>84</v>
      </c>
      <c r="B154" s="177" t="s">
        <v>1399</v>
      </c>
      <c r="C154" s="178" t="s">
        <v>1301</v>
      </c>
      <c r="D154" s="178">
        <v>4</v>
      </c>
      <c r="E154" s="178">
        <v>715</v>
      </c>
      <c r="F154" s="178">
        <v>10</v>
      </c>
      <c r="G154" s="178">
        <v>12</v>
      </c>
      <c r="H154" s="178" t="str">
        <f t="shared" si="16"/>
        <v>0715</v>
      </c>
      <c r="I154" s="178">
        <f t="shared" si="17"/>
        <v>10</v>
      </c>
      <c r="J154" s="178">
        <f t="shared" si="18"/>
        <v>12</v>
      </c>
      <c r="K154" s="178" t="str">
        <f t="shared" si="19"/>
        <v>4 0715 10 12</v>
      </c>
      <c r="L154" s="177" t="s">
        <v>1399</v>
      </c>
      <c r="M154" s="178">
        <v>3</v>
      </c>
      <c r="N154" s="178">
        <v>2</v>
      </c>
      <c r="O154" s="178">
        <v>5</v>
      </c>
      <c r="P154" s="191">
        <f>IF(D154=4,VLOOKUP(C154,Szakmaszorzók!$B$2:$D$25,2,0),VLOOKUP(C154,Szakmaszorzók!$B$2:$D$25,3,0))</f>
        <v>2.42</v>
      </c>
      <c r="Q154" s="192">
        <f>'Támogatás szorzat tényezői'!$C$2*'Támogatás szorzat tényezői'!$C$3*N154*P154</f>
        <v>871200</v>
      </c>
      <c r="R154" s="192">
        <f>'Támogatás szorzat tényezői'!$C$2*'Támogatás szorzat tényezői'!$C$3*P154</f>
        <v>435600</v>
      </c>
    </row>
    <row r="155" spans="1:18" x14ac:dyDescent="0.25">
      <c r="A155" s="178">
        <v>60</v>
      </c>
      <c r="B155" s="177" t="s">
        <v>1400</v>
      </c>
      <c r="C155" s="178" t="s">
        <v>1282</v>
      </c>
      <c r="D155" s="178">
        <v>4</v>
      </c>
      <c r="E155" s="178">
        <v>732</v>
      </c>
      <c r="F155" s="178">
        <v>6</v>
      </c>
      <c r="G155" s="178">
        <v>13</v>
      </c>
      <c r="H155" s="178" t="str">
        <f t="shared" si="16"/>
        <v>0732</v>
      </c>
      <c r="I155" s="178" t="str">
        <f t="shared" si="17"/>
        <v>06</v>
      </c>
      <c r="J155" s="178">
        <f t="shared" si="18"/>
        <v>13</v>
      </c>
      <c r="K155" s="178" t="str">
        <f t="shared" si="19"/>
        <v>4 0732 06 13</v>
      </c>
      <c r="L155" s="177" t="s">
        <v>1400</v>
      </c>
      <c r="M155" s="178">
        <v>3</v>
      </c>
      <c r="N155" s="178">
        <v>2</v>
      </c>
      <c r="O155" s="178">
        <v>4</v>
      </c>
      <c r="P155" s="191">
        <f>IF(D155=4,VLOOKUP(C155,Szakmaszorzók!$B$2:$D$25,2,0),VLOOKUP(C155,Szakmaszorzók!$B$2:$D$25,3,0))</f>
        <v>2.42</v>
      </c>
      <c r="Q155" s="192">
        <f>'Támogatás szorzat tényezői'!$C$2*'Támogatás szorzat tényezői'!$C$3*N155*P155</f>
        <v>871200</v>
      </c>
      <c r="R155" s="192">
        <f>'Támogatás szorzat tényezői'!$C$2*'Támogatás szorzat tényezői'!$C$3*P155</f>
        <v>435600</v>
      </c>
    </row>
    <row r="156" spans="1:18" x14ac:dyDescent="0.25">
      <c r="A156" s="178">
        <v>123</v>
      </c>
      <c r="B156" s="177" t="s">
        <v>1401</v>
      </c>
      <c r="C156" s="178" t="s">
        <v>1298</v>
      </c>
      <c r="D156" s="178">
        <v>5</v>
      </c>
      <c r="E156" s="178">
        <v>413</v>
      </c>
      <c r="F156" s="178">
        <v>16</v>
      </c>
      <c r="G156" s="178">
        <v>14</v>
      </c>
      <c r="H156" s="178" t="str">
        <f t="shared" si="16"/>
        <v>0413</v>
      </c>
      <c r="I156" s="178">
        <f t="shared" si="17"/>
        <v>16</v>
      </c>
      <c r="J156" s="178">
        <f t="shared" si="18"/>
        <v>14</v>
      </c>
      <c r="K156" s="178" t="str">
        <f t="shared" si="19"/>
        <v>5 0413 16 14</v>
      </c>
      <c r="L156" s="177" t="s">
        <v>1401</v>
      </c>
      <c r="M156" s="178">
        <v>5</v>
      </c>
      <c r="N156" s="178">
        <v>2</v>
      </c>
      <c r="O156" s="178">
        <v>5</v>
      </c>
      <c r="P156" s="191">
        <f>IF(D156=4,VLOOKUP(C156,Szakmaszorzók!$B$2:$D$25,2,0),VLOOKUP(C156,Szakmaszorzók!$B$2:$D$25,3,0))</f>
        <v>2.42</v>
      </c>
      <c r="Q156" s="192">
        <f>'Támogatás szorzat tényezői'!$C$2*'Támogatás szorzat tényezői'!$C$3*N156*P156</f>
        <v>871200</v>
      </c>
      <c r="R156" s="192">
        <f>'Támogatás szorzat tényezői'!$C$2*'Támogatás szorzat tényezői'!$C$3*P156</f>
        <v>435600</v>
      </c>
    </row>
    <row r="157" spans="1:18" x14ac:dyDescent="0.25">
      <c r="A157" s="178">
        <v>156</v>
      </c>
      <c r="B157" s="177" t="s">
        <v>1402</v>
      </c>
      <c r="C157" s="178" t="s">
        <v>1338</v>
      </c>
      <c r="D157" s="178">
        <v>4</v>
      </c>
      <c r="E157" s="178">
        <v>923</v>
      </c>
      <c r="F157" s="178">
        <v>22</v>
      </c>
      <c r="G157" s="178">
        <v>3</v>
      </c>
      <c r="H157" s="178" t="str">
        <f t="shared" si="16"/>
        <v>0923</v>
      </c>
      <c r="I157" s="178">
        <f t="shared" si="17"/>
        <v>22</v>
      </c>
      <c r="J157" s="178" t="str">
        <f t="shared" si="18"/>
        <v>03</v>
      </c>
      <c r="K157" s="178" t="str">
        <f t="shared" si="19"/>
        <v>4 0923 22 03</v>
      </c>
      <c r="L157" s="177" t="s">
        <v>1402</v>
      </c>
      <c r="M157" s="178">
        <v>3</v>
      </c>
      <c r="N157" s="178">
        <v>2</v>
      </c>
      <c r="O157" s="178">
        <v>3</v>
      </c>
      <c r="P157" s="191">
        <f>IF(D157=4,VLOOKUP(C157,Szakmaszorzók!$B$2:$D$25,2,0),VLOOKUP(C157,Szakmaszorzók!$B$2:$D$25,3,0))</f>
        <v>2.2000000000000002</v>
      </c>
      <c r="Q157" s="192">
        <f>'Támogatás szorzat tényezői'!$C$2*'Támogatás szorzat tényezői'!$C$3*N157*P157</f>
        <v>792000.00000000012</v>
      </c>
      <c r="R157" s="192">
        <f>'Támogatás szorzat tényezői'!$C$2*'Támogatás szorzat tényezői'!$C$3*P157</f>
        <v>396000.00000000006</v>
      </c>
    </row>
    <row r="158" spans="1:18" x14ac:dyDescent="0.25">
      <c r="A158" s="178">
        <v>157</v>
      </c>
      <c r="B158" s="177" t="s">
        <v>1403</v>
      </c>
      <c r="C158" s="178" t="s">
        <v>1338</v>
      </c>
      <c r="D158" s="178">
        <v>5</v>
      </c>
      <c r="E158" s="178">
        <v>923</v>
      </c>
      <c r="F158" s="178">
        <v>22</v>
      </c>
      <c r="G158" s="178">
        <v>4</v>
      </c>
      <c r="H158" s="178" t="str">
        <f t="shared" si="16"/>
        <v>0923</v>
      </c>
      <c r="I158" s="178">
        <f t="shared" si="17"/>
        <v>22</v>
      </c>
      <c r="J158" s="178" t="str">
        <f t="shared" si="18"/>
        <v>04</v>
      </c>
      <c r="K158" s="178" t="str">
        <f t="shared" si="19"/>
        <v>5 0923 22 04</v>
      </c>
      <c r="L158" s="177" t="s">
        <v>1403</v>
      </c>
      <c r="M158" s="178">
        <v>5</v>
      </c>
      <c r="N158" s="178">
        <v>2</v>
      </c>
      <c r="O158" s="178">
        <v>5</v>
      </c>
      <c r="P158" s="191">
        <f>IF(D158=4,VLOOKUP(C158,Szakmaszorzók!$B$2:$D$25,2,0),VLOOKUP(C158,Szakmaszorzók!$B$2:$D$25,3,0))</f>
        <v>2.2000000000000002</v>
      </c>
      <c r="Q158" s="192">
        <f>'Támogatás szorzat tényezői'!$C$2*'Támogatás szorzat tényezői'!$C$3*N158*P158</f>
        <v>792000.00000000012</v>
      </c>
      <c r="R158" s="192">
        <f>'Támogatás szorzat tényezői'!$C$2*'Támogatás szorzat tényezői'!$C$3*P158</f>
        <v>396000.00000000006</v>
      </c>
    </row>
    <row r="159" spans="1:18" x14ac:dyDescent="0.25">
      <c r="A159" s="178">
        <v>158</v>
      </c>
      <c r="B159" s="177" t="s">
        <v>1404</v>
      </c>
      <c r="C159" s="178" t="s">
        <v>1338</v>
      </c>
      <c r="D159" s="178">
        <v>5</v>
      </c>
      <c r="E159" s="178">
        <v>923</v>
      </c>
      <c r="F159" s="178">
        <v>22</v>
      </c>
      <c r="G159" s="178">
        <v>5</v>
      </c>
      <c r="H159" s="178" t="str">
        <f t="shared" si="16"/>
        <v>0923</v>
      </c>
      <c r="I159" s="178">
        <f t="shared" si="17"/>
        <v>22</v>
      </c>
      <c r="J159" s="178" t="str">
        <f t="shared" si="18"/>
        <v>05</v>
      </c>
      <c r="K159" s="178" t="str">
        <f t="shared" si="19"/>
        <v>5 0923 22 05</v>
      </c>
      <c r="L159" s="177" t="s">
        <v>1404</v>
      </c>
      <c r="M159" s="178" t="s">
        <v>374</v>
      </c>
      <c r="N159" s="178">
        <v>3</v>
      </c>
      <c r="O159" s="178">
        <v>5</v>
      </c>
      <c r="P159" s="191">
        <f>IF(D159=4,VLOOKUP(C159,Szakmaszorzók!$B$2:$D$25,2,0),VLOOKUP(C159,Szakmaszorzók!$B$2:$D$25,3,0))</f>
        <v>2.2000000000000002</v>
      </c>
      <c r="Q159" s="192">
        <f>'Támogatás szorzat tényezői'!$C$2*'Támogatás szorzat tényezői'!$C$3*N159*P159</f>
        <v>1188000</v>
      </c>
      <c r="R159" s="192">
        <f>'Támogatás szorzat tényezői'!$C$2*'Támogatás szorzat tényezői'!$C$3*P159</f>
        <v>396000.00000000006</v>
      </c>
    </row>
    <row r="160" spans="1:18" x14ac:dyDescent="0.25">
      <c r="A160" s="178">
        <v>159</v>
      </c>
      <c r="B160" s="177" t="s">
        <v>1405</v>
      </c>
      <c r="C160" s="178" t="s">
        <v>1338</v>
      </c>
      <c r="D160" s="178">
        <v>5</v>
      </c>
      <c r="E160" s="178">
        <v>923</v>
      </c>
      <c r="F160" s="178">
        <v>22</v>
      </c>
      <c r="G160" s="178">
        <v>6</v>
      </c>
      <c r="H160" s="178" t="str">
        <f t="shared" si="16"/>
        <v>0923</v>
      </c>
      <c r="I160" s="178">
        <f t="shared" si="17"/>
        <v>22</v>
      </c>
      <c r="J160" s="178" t="str">
        <f t="shared" si="18"/>
        <v>06</v>
      </c>
      <c r="K160" s="178" t="str">
        <f t="shared" si="19"/>
        <v>5 0923 22 06</v>
      </c>
      <c r="L160" s="177" t="s">
        <v>1405</v>
      </c>
      <c r="M160" s="178">
        <v>5</v>
      </c>
      <c r="N160" s="178">
        <v>2</v>
      </c>
      <c r="O160" s="178">
        <v>5</v>
      </c>
      <c r="P160" s="191">
        <f>IF(D160=4,VLOOKUP(C160,Szakmaszorzók!$B$2:$D$25,2,0),VLOOKUP(C160,Szakmaszorzók!$B$2:$D$25,3,0))</f>
        <v>2.2000000000000002</v>
      </c>
      <c r="Q160" s="192">
        <f>'Támogatás szorzat tényezői'!$C$2*'Támogatás szorzat tényezői'!$C$3*N160*P160</f>
        <v>792000.00000000012</v>
      </c>
      <c r="R160" s="192">
        <f>'Támogatás szorzat tényezői'!$C$2*'Támogatás szorzat tényezői'!$C$3*P160</f>
        <v>396000.00000000006</v>
      </c>
    </row>
    <row r="161" spans="1:18" x14ac:dyDescent="0.25">
      <c r="A161" s="178">
        <v>93</v>
      </c>
      <c r="B161" s="177" t="s">
        <v>1406</v>
      </c>
      <c r="C161" s="178" t="s">
        <v>1353</v>
      </c>
      <c r="D161" s="178">
        <v>5</v>
      </c>
      <c r="E161" s="178">
        <v>613</v>
      </c>
      <c r="F161" s="178">
        <v>12</v>
      </c>
      <c r="G161" s="178">
        <v>3</v>
      </c>
      <c r="H161" s="178" t="str">
        <f t="shared" si="16"/>
        <v>0613</v>
      </c>
      <c r="I161" s="178">
        <f t="shared" si="17"/>
        <v>12</v>
      </c>
      <c r="J161" s="178" t="str">
        <f t="shared" si="18"/>
        <v>03</v>
      </c>
      <c r="K161" s="178" t="str">
        <f t="shared" si="19"/>
        <v>5 0613 12 03</v>
      </c>
      <c r="L161" s="177" t="s">
        <v>1406</v>
      </c>
      <c r="M161" s="178">
        <v>5</v>
      </c>
      <c r="N161" s="178">
        <v>2</v>
      </c>
      <c r="O161" s="178">
        <v>8</v>
      </c>
      <c r="P161" s="191">
        <f>IF(D161=4,VLOOKUP(C161,Szakmaszorzók!$B$2:$D$25,2,0),VLOOKUP(C161,Szakmaszorzók!$B$2:$D$25,3,0))</f>
        <v>2.2000000000000002</v>
      </c>
      <c r="Q161" s="192">
        <f>'Támogatás szorzat tényezői'!$C$2*'Támogatás szorzat tényezői'!$C$3*N161*P161</f>
        <v>792000.00000000012</v>
      </c>
      <c r="R161" s="192">
        <f>'Támogatás szorzat tényezői'!$C$2*'Támogatás szorzat tényezői'!$C$3*P161</f>
        <v>396000.00000000006</v>
      </c>
    </row>
    <row r="162" spans="1:18" x14ac:dyDescent="0.25">
      <c r="A162" s="178">
        <v>43</v>
      </c>
      <c r="B162" s="177" t="s">
        <v>301</v>
      </c>
      <c r="C162" s="178" t="s">
        <v>1296</v>
      </c>
      <c r="D162" s="178">
        <v>4</v>
      </c>
      <c r="E162" s="178">
        <v>721</v>
      </c>
      <c r="F162" s="178">
        <v>5</v>
      </c>
      <c r="G162" s="178">
        <v>14</v>
      </c>
      <c r="H162" s="178" t="str">
        <f t="shared" si="16"/>
        <v>0721</v>
      </c>
      <c r="I162" s="178" t="str">
        <f t="shared" si="17"/>
        <v>05</v>
      </c>
      <c r="J162" s="178">
        <f t="shared" si="18"/>
        <v>14</v>
      </c>
      <c r="K162" s="178" t="str">
        <f t="shared" si="19"/>
        <v>4 0721 05 14</v>
      </c>
      <c r="L162" s="177" t="s">
        <v>301</v>
      </c>
      <c r="M162" s="178">
        <v>3</v>
      </c>
      <c r="N162" s="178">
        <v>2</v>
      </c>
      <c r="O162" s="178">
        <v>4</v>
      </c>
      <c r="P162" s="191">
        <f>IF(D162=4,VLOOKUP(C162,Szakmaszorzók!$B$2:$D$25,2,0),VLOOKUP(C162,Szakmaszorzók!$B$2:$D$25,3,0))</f>
        <v>2.2000000000000002</v>
      </c>
      <c r="Q162" s="192">
        <f>'Támogatás szorzat tényezői'!$C$2*'Támogatás szorzat tényezői'!$C$3*N162*P162</f>
        <v>792000.00000000012</v>
      </c>
      <c r="R162" s="192">
        <f>'Támogatás szorzat tényezői'!$C$2*'Támogatás szorzat tényezői'!$C$3*P162</f>
        <v>396000.00000000006</v>
      </c>
    </row>
    <row r="163" spans="1:18" x14ac:dyDescent="0.25">
      <c r="A163" s="178">
        <v>22</v>
      </c>
      <c r="B163" s="177" t="s">
        <v>337</v>
      </c>
      <c r="C163" s="178" t="s">
        <v>1285</v>
      </c>
      <c r="D163" s="178">
        <v>5</v>
      </c>
      <c r="E163" s="178">
        <v>914</v>
      </c>
      <c r="F163" s="178">
        <v>3</v>
      </c>
      <c r="G163" s="178">
        <v>10</v>
      </c>
      <c r="H163" s="178" t="str">
        <f t="shared" si="16"/>
        <v>0914</v>
      </c>
      <c r="I163" s="178" t="str">
        <f t="shared" si="17"/>
        <v>03</v>
      </c>
      <c r="J163" s="178">
        <f t="shared" si="18"/>
        <v>10</v>
      </c>
      <c r="K163" s="178" t="str">
        <f t="shared" si="19"/>
        <v>5 0914 03 10</v>
      </c>
      <c r="L163" s="177" t="s">
        <v>337</v>
      </c>
      <c r="M163" s="178">
        <v>6</v>
      </c>
      <c r="N163" s="178">
        <v>3</v>
      </c>
      <c r="O163" s="178">
        <v>5</v>
      </c>
      <c r="P163" s="191">
        <f>IF(D163=4,VLOOKUP(C163,Szakmaszorzók!$B$2:$D$25,2,0),VLOOKUP(C163,Szakmaszorzók!$B$2:$D$25,3,0))</f>
        <v>2.2000000000000002</v>
      </c>
      <c r="Q163" s="192">
        <f>'Támogatás szorzat tényezői'!$C$2*'Támogatás szorzat tényezői'!$C$3*N163*P163</f>
        <v>1188000</v>
      </c>
      <c r="R163" s="192">
        <f>'Támogatás szorzat tényezői'!$C$2*'Támogatás szorzat tényezői'!$C$3*P163</f>
        <v>396000.00000000006</v>
      </c>
    </row>
    <row r="164" spans="1:18" x14ac:dyDescent="0.25">
      <c r="A164" s="178">
        <v>44</v>
      </c>
      <c r="B164" s="177" t="s">
        <v>1407</v>
      </c>
      <c r="C164" s="178" t="s">
        <v>1296</v>
      </c>
      <c r="D164" s="178">
        <v>5</v>
      </c>
      <c r="E164" s="178">
        <v>721</v>
      </c>
      <c r="F164" s="178">
        <v>5</v>
      </c>
      <c r="G164" s="178">
        <v>15</v>
      </c>
      <c r="H164" s="178" t="str">
        <f t="shared" si="16"/>
        <v>0721</v>
      </c>
      <c r="I164" s="178" t="str">
        <f t="shared" si="17"/>
        <v>05</v>
      </c>
      <c r="J164" s="178">
        <f t="shared" si="18"/>
        <v>15</v>
      </c>
      <c r="K164" s="178" t="str">
        <f t="shared" si="19"/>
        <v>5 0721 05 15</v>
      </c>
      <c r="L164" s="177" t="s">
        <v>1407</v>
      </c>
      <c r="M164" s="178">
        <v>5</v>
      </c>
      <c r="N164" s="178">
        <v>2</v>
      </c>
      <c r="O164" s="178">
        <v>6</v>
      </c>
      <c r="P164" s="191">
        <f>IF(D164=4,VLOOKUP(C164,Szakmaszorzók!$B$2:$D$25,2,0),VLOOKUP(C164,Szakmaszorzók!$B$2:$D$25,3,0))</f>
        <v>2.2000000000000002</v>
      </c>
      <c r="Q164" s="192">
        <f>'Támogatás szorzat tényezői'!$C$2*'Támogatás szorzat tényezői'!$C$3*N164*P164</f>
        <v>792000.00000000012</v>
      </c>
      <c r="R164" s="192">
        <f>'Támogatás szorzat tényezői'!$C$2*'Támogatás szorzat tényezői'!$C$3*P164</f>
        <v>396000.00000000006</v>
      </c>
    </row>
    <row r="165" spans="1:18" x14ac:dyDescent="0.25">
      <c r="A165" s="178">
        <v>45</v>
      </c>
      <c r="B165" s="177" t="s">
        <v>1977</v>
      </c>
      <c r="C165" s="178" t="s">
        <v>1296</v>
      </c>
      <c r="D165" s="178">
        <v>4</v>
      </c>
      <c r="E165" s="178">
        <v>721</v>
      </c>
      <c r="F165" s="178">
        <v>5</v>
      </c>
      <c r="G165" s="178">
        <v>16</v>
      </c>
      <c r="H165" s="178" t="str">
        <f t="shared" si="16"/>
        <v>0721</v>
      </c>
      <c r="I165" s="178" t="str">
        <f t="shared" si="17"/>
        <v>05</v>
      </c>
      <c r="J165" s="178">
        <f t="shared" si="18"/>
        <v>16</v>
      </c>
      <c r="K165" s="178" t="str">
        <f t="shared" si="19"/>
        <v>4 0721 05 16</v>
      </c>
      <c r="L165" s="177" t="s">
        <v>1977</v>
      </c>
      <c r="M165" s="178">
        <v>3</v>
      </c>
      <c r="N165" s="178">
        <v>2</v>
      </c>
      <c r="O165" s="178">
        <v>4</v>
      </c>
      <c r="P165" s="191">
        <f>IF(D165=4,VLOOKUP(C165,Szakmaszorzók!$B$2:$D$25,2,0),VLOOKUP(C165,Szakmaszorzók!$B$2:$D$25,3,0))</f>
        <v>2.2000000000000002</v>
      </c>
      <c r="Q165" s="192">
        <f>'Támogatás szorzat tényezői'!$C$2*'Támogatás szorzat tényezői'!$C$3*N165*P165</f>
        <v>792000.00000000012</v>
      </c>
      <c r="R165" s="192">
        <f>'Támogatás szorzat tényezői'!$C$2*'Támogatás szorzat tényezői'!$C$3*P165</f>
        <v>396000.00000000006</v>
      </c>
    </row>
    <row r="166" spans="1:18" x14ac:dyDescent="0.25">
      <c r="A166" s="178">
        <v>94</v>
      </c>
      <c r="B166" s="177" t="s">
        <v>304</v>
      </c>
      <c r="C166" s="178" t="s">
        <v>1353</v>
      </c>
      <c r="D166" s="178">
        <v>5</v>
      </c>
      <c r="E166" s="178">
        <v>714</v>
      </c>
      <c r="F166" s="178">
        <v>12</v>
      </c>
      <c r="G166" s="178">
        <v>4</v>
      </c>
      <c r="H166" s="178" t="str">
        <f t="shared" si="16"/>
        <v>0714</v>
      </c>
      <c r="I166" s="178">
        <f t="shared" si="17"/>
        <v>12</v>
      </c>
      <c r="J166" s="178" t="str">
        <f t="shared" si="18"/>
        <v>04</v>
      </c>
      <c r="K166" s="178" t="str">
        <f t="shared" si="19"/>
        <v>5 0714 12 04</v>
      </c>
      <c r="L166" s="177" t="s">
        <v>304</v>
      </c>
      <c r="M166" s="178">
        <v>5</v>
      </c>
      <c r="N166" s="178">
        <v>2</v>
      </c>
      <c r="O166" s="178">
        <v>8</v>
      </c>
      <c r="P166" s="191">
        <f>IF(D166=4,VLOOKUP(C166,Szakmaszorzók!$B$2:$D$25,2,0),VLOOKUP(C166,Szakmaszorzók!$B$2:$D$25,3,0))</f>
        <v>2.2000000000000002</v>
      </c>
      <c r="Q166" s="192">
        <f>'Támogatás szorzat tényezői'!$C$2*'Támogatás szorzat tényezői'!$C$3*N166*P166</f>
        <v>792000.00000000012</v>
      </c>
      <c r="R166" s="192">
        <f>'Támogatás szorzat tényezői'!$C$2*'Támogatás szorzat tényezői'!$C$3*P166</f>
        <v>396000.00000000006</v>
      </c>
    </row>
    <row r="167" spans="1:18" x14ac:dyDescent="0.25">
      <c r="A167" s="178">
        <v>46</v>
      </c>
      <c r="B167" s="177" t="s">
        <v>1408</v>
      </c>
      <c r="C167" s="178" t="s">
        <v>1296</v>
      </c>
      <c r="D167" s="178">
        <v>5</v>
      </c>
      <c r="E167" s="178">
        <v>721</v>
      </c>
      <c r="F167" s="178">
        <v>5</v>
      </c>
      <c r="G167" s="178">
        <v>17</v>
      </c>
      <c r="H167" s="178" t="str">
        <f t="shared" ref="H167:H183" si="20">IF(E167&lt;1000,"0"&amp;E167,E167)</f>
        <v>0721</v>
      </c>
      <c r="I167" s="178" t="str">
        <f t="shared" ref="I167:I183" si="21">IF(F167&lt;10,"0"&amp;F167,F167)</f>
        <v>05</v>
      </c>
      <c r="J167" s="178">
        <f t="shared" ref="J167:J183" si="22">IF(G167&lt;10,"0"&amp;G167,G167)</f>
        <v>17</v>
      </c>
      <c r="K167" s="178" t="str">
        <f t="shared" ref="K167:K183" si="23">D167&amp;" "&amp;H167&amp;" "&amp;I167&amp;" "&amp;J167</f>
        <v>5 0721 05 17</v>
      </c>
      <c r="L167" s="177" t="s">
        <v>1408</v>
      </c>
      <c r="M167" s="178">
        <v>5</v>
      </c>
      <c r="N167" s="178">
        <v>2</v>
      </c>
      <c r="O167" s="178">
        <v>6</v>
      </c>
      <c r="P167" s="191">
        <f>IF(D167=4,VLOOKUP(C167,Szakmaszorzók!$B$2:$D$25,2,0),VLOOKUP(C167,Szakmaszorzók!$B$2:$D$25,3,0))</f>
        <v>2.2000000000000002</v>
      </c>
      <c r="Q167" s="192">
        <f>'Támogatás szorzat tényezői'!$C$2*'Támogatás szorzat tényezői'!$C$3*N167*P167</f>
        <v>792000.00000000012</v>
      </c>
      <c r="R167" s="192">
        <f>'Támogatás szorzat tényezői'!$C$2*'Támogatás szorzat tényezői'!$C$3*P167</f>
        <v>396000.00000000006</v>
      </c>
    </row>
    <row r="168" spans="1:18" x14ac:dyDescent="0.25">
      <c r="A168" s="178">
        <v>47</v>
      </c>
      <c r="B168" s="177" t="s">
        <v>1409</v>
      </c>
      <c r="C168" s="178" t="s">
        <v>1296</v>
      </c>
      <c r="D168" s="178">
        <v>4</v>
      </c>
      <c r="E168" s="178">
        <v>721</v>
      </c>
      <c r="F168" s="178">
        <v>5</v>
      </c>
      <c r="G168" s="178">
        <v>18</v>
      </c>
      <c r="H168" s="178" t="str">
        <f t="shared" si="20"/>
        <v>0721</v>
      </c>
      <c r="I168" s="178" t="str">
        <f t="shared" si="21"/>
        <v>05</v>
      </c>
      <c r="J168" s="178">
        <f t="shared" si="22"/>
        <v>18</v>
      </c>
      <c r="K168" s="178" t="str">
        <f t="shared" si="23"/>
        <v>4 0721 05 18</v>
      </c>
      <c r="L168" s="177" t="s">
        <v>1409</v>
      </c>
      <c r="M168" s="178">
        <v>3</v>
      </c>
      <c r="N168" s="178">
        <v>2</v>
      </c>
      <c r="O168" s="178">
        <v>4</v>
      </c>
      <c r="P168" s="191">
        <f>IF(D168=4,VLOOKUP(C168,Szakmaszorzók!$B$2:$D$25,2,0),VLOOKUP(C168,Szakmaszorzók!$B$2:$D$25,3,0))</f>
        <v>2.2000000000000002</v>
      </c>
      <c r="Q168" s="192">
        <f>'Támogatás szorzat tényezői'!$C$2*'Támogatás szorzat tényezői'!$C$3*N168*P168</f>
        <v>792000.00000000012</v>
      </c>
      <c r="R168" s="192">
        <f>'Támogatás szorzat tényezői'!$C$2*'Támogatás szorzat tényezői'!$C$3*P168</f>
        <v>396000.00000000006</v>
      </c>
    </row>
    <row r="169" spans="1:18" x14ac:dyDescent="0.25">
      <c r="A169" s="178">
        <v>61</v>
      </c>
      <c r="B169" s="177" t="s">
        <v>310</v>
      </c>
      <c r="C169" s="178" t="s">
        <v>1282</v>
      </c>
      <c r="D169" s="178">
        <v>4</v>
      </c>
      <c r="E169" s="178">
        <v>732</v>
      </c>
      <c r="F169" s="178">
        <v>6</v>
      </c>
      <c r="G169" s="178">
        <v>14</v>
      </c>
      <c r="H169" s="178" t="str">
        <f t="shared" si="20"/>
        <v>0732</v>
      </c>
      <c r="I169" s="178" t="str">
        <f t="shared" si="21"/>
        <v>06</v>
      </c>
      <c r="J169" s="178">
        <f t="shared" si="22"/>
        <v>14</v>
      </c>
      <c r="K169" s="178" t="str">
        <f t="shared" si="23"/>
        <v>4 0732 06 14</v>
      </c>
      <c r="L169" s="177" t="s">
        <v>310</v>
      </c>
      <c r="M169" s="178">
        <v>3</v>
      </c>
      <c r="N169" s="178">
        <v>2</v>
      </c>
      <c r="O169" s="178">
        <v>4</v>
      </c>
      <c r="P169" s="191">
        <f>IF(D169=4,VLOOKUP(C169,Szakmaszorzók!$B$2:$D$25,2,0),VLOOKUP(C169,Szakmaszorzók!$B$2:$D$25,3,0))</f>
        <v>2.42</v>
      </c>
      <c r="Q169" s="192">
        <f>'Támogatás szorzat tényezői'!$C$2*'Támogatás szorzat tényezői'!$C$3*N169*P169</f>
        <v>871200</v>
      </c>
      <c r="R169" s="192">
        <f>'Támogatás szorzat tényezői'!$C$2*'Támogatás szorzat tényezői'!$C$3*P169</f>
        <v>435600</v>
      </c>
    </row>
    <row r="170" spans="1:18" x14ac:dyDescent="0.25">
      <c r="A170" s="178">
        <v>115</v>
      </c>
      <c r="B170" s="177" t="s">
        <v>1410</v>
      </c>
      <c r="C170" s="178" t="s">
        <v>1298</v>
      </c>
      <c r="D170" s="178">
        <v>4</v>
      </c>
      <c r="E170" s="178">
        <v>723</v>
      </c>
      <c r="F170" s="178">
        <v>16</v>
      </c>
      <c r="G170" s="178">
        <v>6</v>
      </c>
      <c r="H170" s="178" t="str">
        <f t="shared" si="20"/>
        <v>0723</v>
      </c>
      <c r="I170" s="178">
        <f t="shared" si="21"/>
        <v>16</v>
      </c>
      <c r="J170" s="178" t="str">
        <f t="shared" si="22"/>
        <v>06</v>
      </c>
      <c r="K170" s="178" t="str">
        <f t="shared" si="23"/>
        <v>4 0723 16 06</v>
      </c>
      <c r="L170" s="177" t="s">
        <v>1410</v>
      </c>
      <c r="M170" s="178">
        <v>3</v>
      </c>
      <c r="N170" s="178">
        <v>2</v>
      </c>
      <c r="O170" s="178">
        <v>4</v>
      </c>
      <c r="P170" s="191">
        <f>IF(D170=4,VLOOKUP(C170,Szakmaszorzók!$B$2:$D$25,2,0),VLOOKUP(C170,Szakmaszorzók!$B$2:$D$25,3,0))</f>
        <v>2.42</v>
      </c>
      <c r="Q170" s="192">
        <f>'Támogatás szorzat tényezői'!$C$2*'Támogatás szorzat tényezői'!$C$3*N170*P170</f>
        <v>871200</v>
      </c>
      <c r="R170" s="192">
        <f>'Támogatás szorzat tényezői'!$C$2*'Támogatás szorzat tényezői'!$C$3*P170</f>
        <v>435600</v>
      </c>
    </row>
    <row r="171" spans="1:18" x14ac:dyDescent="0.25">
      <c r="A171" s="178">
        <v>166</v>
      </c>
      <c r="B171" s="177" t="s">
        <v>1411</v>
      </c>
      <c r="C171" s="178" t="s">
        <v>1303</v>
      </c>
      <c r="D171" s="178">
        <v>5</v>
      </c>
      <c r="E171" s="178">
        <v>1015</v>
      </c>
      <c r="F171" s="178">
        <v>23</v>
      </c>
      <c r="G171" s="178">
        <v>7</v>
      </c>
      <c r="H171" s="178">
        <f t="shared" si="20"/>
        <v>1015</v>
      </c>
      <c r="I171" s="178">
        <f t="shared" si="21"/>
        <v>23</v>
      </c>
      <c r="J171" s="178" t="str">
        <f t="shared" si="22"/>
        <v>07</v>
      </c>
      <c r="K171" s="178" t="str">
        <f t="shared" si="23"/>
        <v>5 1015 23 07</v>
      </c>
      <c r="L171" s="177" t="s">
        <v>1411</v>
      </c>
      <c r="M171" s="178">
        <v>5</v>
      </c>
      <c r="N171" s="178">
        <v>2</v>
      </c>
      <c r="O171" s="178">
        <v>6</v>
      </c>
      <c r="P171" s="191">
        <f>IF(D171=4,VLOOKUP(C171,Szakmaszorzók!$B$2:$D$25,2,0),VLOOKUP(C171,Szakmaszorzók!$B$2:$D$25,3,0))</f>
        <v>2.2000000000000002</v>
      </c>
      <c r="Q171" s="192">
        <f>'Támogatás szorzat tényezői'!$C$2*'Támogatás szorzat tényezői'!$C$3*N171*P171</f>
        <v>792000.00000000012</v>
      </c>
      <c r="R171" s="192">
        <f>'Támogatás szorzat tényezői'!$C$2*'Támogatás szorzat tényezői'!$C$3*P171</f>
        <v>396000.00000000006</v>
      </c>
    </row>
    <row r="172" spans="1:18" x14ac:dyDescent="0.25">
      <c r="A172" s="178">
        <v>62</v>
      </c>
      <c r="B172" s="177" t="s">
        <v>1412</v>
      </c>
      <c r="C172" s="178" t="s">
        <v>1282</v>
      </c>
      <c r="D172" s="178">
        <v>4</v>
      </c>
      <c r="E172" s="178">
        <v>732</v>
      </c>
      <c r="F172" s="178">
        <v>6</v>
      </c>
      <c r="G172" s="178">
        <v>15</v>
      </c>
      <c r="H172" s="178" t="str">
        <f t="shared" si="20"/>
        <v>0732</v>
      </c>
      <c r="I172" s="178" t="str">
        <f t="shared" si="21"/>
        <v>06</v>
      </c>
      <c r="J172" s="178">
        <f t="shared" si="22"/>
        <v>15</v>
      </c>
      <c r="K172" s="178" t="str">
        <f t="shared" si="23"/>
        <v>4 0732 06 15</v>
      </c>
      <c r="L172" s="177" t="s">
        <v>1412</v>
      </c>
      <c r="M172" s="178">
        <v>3</v>
      </c>
      <c r="N172" s="178">
        <v>2</v>
      </c>
      <c r="O172" s="178">
        <v>4</v>
      </c>
      <c r="P172" s="191">
        <f>IF(D172=4,VLOOKUP(C172,Szakmaszorzók!$B$2:$D$25,2,0),VLOOKUP(C172,Szakmaszorzók!$B$2:$D$25,3,0))</f>
        <v>2.42</v>
      </c>
      <c r="Q172" s="192">
        <f>'Támogatás szorzat tényezői'!$C$2*'Támogatás szorzat tényezői'!$C$3*N172*P172</f>
        <v>871200</v>
      </c>
      <c r="R172" s="192">
        <f>'Támogatás szorzat tényezői'!$C$2*'Támogatás szorzat tényezői'!$C$3*P172</f>
        <v>435600</v>
      </c>
    </row>
    <row r="173" spans="1:18" x14ac:dyDescent="0.25">
      <c r="A173" s="178">
        <v>63</v>
      </c>
      <c r="B173" s="177" t="s">
        <v>1413</v>
      </c>
      <c r="C173" s="178" t="s">
        <v>1282</v>
      </c>
      <c r="D173" s="178">
        <v>5</v>
      </c>
      <c r="E173" s="178">
        <v>732</v>
      </c>
      <c r="F173" s="178">
        <v>6</v>
      </c>
      <c r="G173" s="178">
        <v>16</v>
      </c>
      <c r="H173" s="178" t="str">
        <f t="shared" si="20"/>
        <v>0732</v>
      </c>
      <c r="I173" s="178" t="str">
        <f t="shared" si="21"/>
        <v>06</v>
      </c>
      <c r="J173" s="178">
        <f t="shared" si="22"/>
        <v>16</v>
      </c>
      <c r="K173" s="178" t="str">
        <f t="shared" si="23"/>
        <v>5 0732 06 16</v>
      </c>
      <c r="L173" s="177" t="s">
        <v>1413</v>
      </c>
      <c r="M173" s="178">
        <v>5</v>
      </c>
      <c r="N173" s="178">
        <v>2</v>
      </c>
      <c r="O173" s="178">
        <v>5</v>
      </c>
      <c r="P173" s="191">
        <f>IF(D173=4,VLOOKUP(C173,Szakmaszorzók!$B$2:$D$25,2,0),VLOOKUP(C173,Szakmaszorzók!$B$2:$D$25,3,0))</f>
        <v>2.42</v>
      </c>
      <c r="Q173" s="192">
        <f>'Támogatás szorzat tényezői'!$C$2*'Támogatás szorzat tényezői'!$C$3*N173*P173</f>
        <v>871200</v>
      </c>
      <c r="R173" s="192">
        <f>'Támogatás szorzat tényezői'!$C$2*'Támogatás szorzat tényezői'!$C$3*P173</f>
        <v>435600</v>
      </c>
    </row>
    <row r="174" spans="1:18" x14ac:dyDescent="0.25">
      <c r="A174" s="178">
        <v>72</v>
      </c>
      <c r="B174" s="177" t="s">
        <v>1414</v>
      </c>
      <c r="C174" s="178" t="s">
        <v>1389</v>
      </c>
      <c r="D174" s="178">
        <v>5</v>
      </c>
      <c r="E174" s="178">
        <v>411</v>
      </c>
      <c r="F174" s="178">
        <v>9</v>
      </c>
      <c r="G174" s="178">
        <v>2</v>
      </c>
      <c r="H174" s="178" t="str">
        <f t="shared" si="20"/>
        <v>0411</v>
      </c>
      <c r="I174" s="178" t="str">
        <f t="shared" si="21"/>
        <v>09</v>
      </c>
      <c r="J174" s="178" t="str">
        <f t="shared" si="22"/>
        <v>02</v>
      </c>
      <c r="K174" s="178" t="str">
        <f t="shared" si="23"/>
        <v>5 0411 09 02</v>
      </c>
      <c r="L174" s="177" t="s">
        <v>1414</v>
      </c>
      <c r="M174" s="178">
        <v>5</v>
      </c>
      <c r="N174" s="178">
        <v>2</v>
      </c>
      <c r="O174" s="178">
        <v>6</v>
      </c>
      <c r="P174" s="191">
        <f>IF(D174=4,VLOOKUP(C174,Szakmaszorzók!$B$2:$D$25,2,0),VLOOKUP(C174,Szakmaszorzók!$B$2:$D$25,3,0))</f>
        <v>2.2000000000000002</v>
      </c>
      <c r="Q174" s="192">
        <f>'Támogatás szorzat tényezői'!$C$2*'Támogatás szorzat tényezői'!$C$3*N174*P174</f>
        <v>792000.00000000012</v>
      </c>
      <c r="R174" s="192">
        <f>'Támogatás szorzat tényezői'!$C$2*'Támogatás szorzat tényezői'!$C$3*P174</f>
        <v>396000.00000000006</v>
      </c>
    </row>
    <row r="175" spans="1:18" x14ac:dyDescent="0.25">
      <c r="A175" s="178">
        <v>106</v>
      </c>
      <c r="B175" s="177" t="s">
        <v>1415</v>
      </c>
      <c r="C175" s="178" t="s">
        <v>1340</v>
      </c>
      <c r="D175" s="178">
        <v>5</v>
      </c>
      <c r="E175" s="178">
        <v>1041</v>
      </c>
      <c r="F175" s="178">
        <v>15</v>
      </c>
      <c r="G175" s="178">
        <v>8</v>
      </c>
      <c r="H175" s="178">
        <f t="shared" si="20"/>
        <v>1041</v>
      </c>
      <c r="I175" s="178">
        <f t="shared" si="21"/>
        <v>15</v>
      </c>
      <c r="J175" s="178" t="str">
        <f t="shared" si="22"/>
        <v>08</v>
      </c>
      <c r="K175" s="178" t="str">
        <f t="shared" si="23"/>
        <v>5 1041 15 08</v>
      </c>
      <c r="L175" s="177" t="s">
        <v>1415</v>
      </c>
      <c r="M175" s="178">
        <v>5</v>
      </c>
      <c r="N175" s="178">
        <v>2</v>
      </c>
      <c r="O175" s="178">
        <v>5</v>
      </c>
      <c r="P175" s="191">
        <f>IF(D175=4,VLOOKUP(C175,Szakmaszorzók!$B$2:$D$25,2,0),VLOOKUP(C175,Szakmaszorzók!$B$2:$D$25,3,0))</f>
        <v>2.2000000000000002</v>
      </c>
      <c r="Q175" s="192">
        <f>'Támogatás szorzat tényezői'!$C$2*'Támogatás szorzat tényezői'!$C$3*N175*P175</f>
        <v>792000.00000000012</v>
      </c>
      <c r="R175" s="192">
        <f>'Támogatás szorzat tényezői'!$C$2*'Támogatás szorzat tényezői'!$C$3*P175</f>
        <v>396000.00000000006</v>
      </c>
    </row>
    <row r="176" spans="1:18" x14ac:dyDescent="0.25">
      <c r="A176" s="178">
        <v>85</v>
      </c>
      <c r="B176" s="177" t="s">
        <v>1416</v>
      </c>
      <c r="C176" s="178" t="s">
        <v>1301</v>
      </c>
      <c r="D176" s="178">
        <v>5</v>
      </c>
      <c r="E176" s="178">
        <v>716</v>
      </c>
      <c r="F176" s="178">
        <v>10</v>
      </c>
      <c r="G176" s="178">
        <v>13</v>
      </c>
      <c r="H176" s="178" t="str">
        <f t="shared" si="20"/>
        <v>0716</v>
      </c>
      <c r="I176" s="178">
        <f t="shared" si="21"/>
        <v>10</v>
      </c>
      <c r="J176" s="178">
        <f t="shared" si="22"/>
        <v>13</v>
      </c>
      <c r="K176" s="178" t="str">
        <f t="shared" si="23"/>
        <v>5 0716 10 13</v>
      </c>
      <c r="L176" s="177" t="s">
        <v>1416</v>
      </c>
      <c r="M176" s="178">
        <v>5</v>
      </c>
      <c r="N176" s="178">
        <v>2</v>
      </c>
      <c r="O176" s="178">
        <v>6</v>
      </c>
      <c r="P176" s="191">
        <f>IF(D176=4,VLOOKUP(C176,Szakmaszorzók!$B$2:$D$25,2,0),VLOOKUP(C176,Szakmaszorzók!$B$2:$D$25,3,0))</f>
        <v>2.85</v>
      </c>
      <c r="Q176" s="192">
        <f>'Támogatás szorzat tényezői'!$C$2*'Támogatás szorzat tényezői'!$C$3*N176*P176</f>
        <v>1026000</v>
      </c>
      <c r="R176" s="192">
        <f>'Támogatás szorzat tényezői'!$C$2*'Támogatás szorzat tényezői'!$C$3*P176</f>
        <v>513000</v>
      </c>
    </row>
    <row r="177" spans="1:18" x14ac:dyDescent="0.25">
      <c r="A177" s="178">
        <v>175</v>
      </c>
      <c r="B177" s="177" t="s">
        <v>354</v>
      </c>
      <c r="C177" s="178" t="s">
        <v>1280</v>
      </c>
      <c r="D177" s="178">
        <v>5</v>
      </c>
      <c r="E177" s="178">
        <v>711</v>
      </c>
      <c r="F177" s="178">
        <v>24</v>
      </c>
      <c r="G177" s="178">
        <v>8</v>
      </c>
      <c r="H177" s="178" t="str">
        <f t="shared" si="20"/>
        <v>0711</v>
      </c>
      <c r="I177" s="178">
        <f t="shared" si="21"/>
        <v>24</v>
      </c>
      <c r="J177" s="178" t="str">
        <f t="shared" si="22"/>
        <v>08</v>
      </c>
      <c r="K177" s="178" t="str">
        <f t="shared" si="23"/>
        <v>5 0711 24 08</v>
      </c>
      <c r="L177" s="177" t="s">
        <v>354</v>
      </c>
      <c r="M177" s="178">
        <v>5</v>
      </c>
      <c r="N177" s="178">
        <v>2</v>
      </c>
      <c r="O177" s="178">
        <v>6</v>
      </c>
      <c r="P177" s="191">
        <f>IF(D177=4,VLOOKUP(C177,Szakmaszorzók!$B$2:$D$25,2,0),VLOOKUP(C177,Szakmaszorzók!$B$2:$D$25,3,0))</f>
        <v>2.85</v>
      </c>
      <c r="Q177" s="192">
        <f>'Támogatás szorzat tényezői'!$C$2*'Támogatás szorzat tényezői'!$C$3*N177*P177</f>
        <v>1026000</v>
      </c>
      <c r="R177" s="192">
        <f>'Támogatás szorzat tényezői'!$C$2*'Támogatás szorzat tényezői'!$C$3*P177</f>
        <v>513000</v>
      </c>
    </row>
    <row r="178" spans="1:18" x14ac:dyDescent="0.25">
      <c r="A178" s="178">
        <v>176</v>
      </c>
      <c r="B178" s="177" t="s">
        <v>355</v>
      </c>
      <c r="C178" s="178" t="s">
        <v>1280</v>
      </c>
      <c r="D178" s="178">
        <v>4</v>
      </c>
      <c r="E178" s="178">
        <v>711</v>
      </c>
      <c r="F178" s="178">
        <v>24</v>
      </c>
      <c r="G178" s="178">
        <v>9</v>
      </c>
      <c r="H178" s="178" t="str">
        <f t="shared" si="20"/>
        <v>0711</v>
      </c>
      <c r="I178" s="178">
        <f t="shared" si="21"/>
        <v>24</v>
      </c>
      <c r="J178" s="178" t="str">
        <f t="shared" si="22"/>
        <v>09</v>
      </c>
      <c r="K178" s="178" t="str">
        <f t="shared" si="23"/>
        <v>4 0711 24 09</v>
      </c>
      <c r="L178" s="177" t="s">
        <v>355</v>
      </c>
      <c r="M178" s="178">
        <v>3</v>
      </c>
      <c r="N178" s="178">
        <v>2</v>
      </c>
      <c r="O178" s="178">
        <v>5</v>
      </c>
      <c r="P178" s="191">
        <f>IF(D178=4,VLOOKUP(C178,Szakmaszorzók!$B$2:$D$25,2,0),VLOOKUP(C178,Szakmaszorzók!$B$2:$D$25,3,0))</f>
        <v>2.42</v>
      </c>
      <c r="Q178" s="192">
        <f>'Támogatás szorzat tényezői'!$C$2*'Támogatás szorzat tényezői'!$C$3*N178*P178</f>
        <v>871200</v>
      </c>
      <c r="R178" s="192">
        <f>'Támogatás szorzat tényezői'!$C$2*'Támogatás szorzat tényezői'!$C$3*P178</f>
        <v>435600</v>
      </c>
    </row>
    <row r="179" spans="1:18" x14ac:dyDescent="0.25">
      <c r="A179" s="178">
        <v>167</v>
      </c>
      <c r="B179" s="177" t="s">
        <v>1417</v>
      </c>
      <c r="C179" s="178" t="s">
        <v>1303</v>
      </c>
      <c r="D179" s="178">
        <v>5</v>
      </c>
      <c r="E179" s="178">
        <v>1013</v>
      </c>
      <c r="F179" s="178">
        <v>23</v>
      </c>
      <c r="G179" s="178">
        <v>8</v>
      </c>
      <c r="H179" s="178">
        <f t="shared" si="20"/>
        <v>1013</v>
      </c>
      <c r="I179" s="178">
        <f t="shared" si="21"/>
        <v>23</v>
      </c>
      <c r="J179" s="178" t="str">
        <f t="shared" si="22"/>
        <v>08</v>
      </c>
      <c r="K179" s="178" t="str">
        <f t="shared" si="23"/>
        <v>5 1013 23 08</v>
      </c>
      <c r="L179" s="177" t="s">
        <v>1417</v>
      </c>
      <c r="M179" s="178">
        <v>5</v>
      </c>
      <c r="N179" s="178">
        <v>2</v>
      </c>
      <c r="O179" s="178">
        <v>6</v>
      </c>
      <c r="P179" s="191">
        <f>IF(D179=4,VLOOKUP(C179,Szakmaszorzók!$B$2:$D$25,2,0),VLOOKUP(C179,Szakmaszorzók!$B$2:$D$25,3,0))</f>
        <v>2.2000000000000002</v>
      </c>
      <c r="Q179" s="192">
        <f>'Támogatás szorzat tényezői'!$C$2*'Támogatás szorzat tényezői'!$C$3*N179*P179</f>
        <v>792000.00000000012</v>
      </c>
      <c r="R179" s="192">
        <f>'Támogatás szorzat tényezői'!$C$2*'Támogatás szorzat tényezői'!$C$3*P179</f>
        <v>396000.00000000006</v>
      </c>
    </row>
    <row r="180" spans="1:18" x14ac:dyDescent="0.25">
      <c r="A180" s="178">
        <v>29</v>
      </c>
      <c r="B180" s="177" t="s">
        <v>332</v>
      </c>
      <c r="C180" s="178" t="s">
        <v>1290</v>
      </c>
      <c r="D180" s="178">
        <v>4</v>
      </c>
      <c r="E180" s="178">
        <v>713</v>
      </c>
      <c r="F180" s="178">
        <v>4</v>
      </c>
      <c r="G180" s="178">
        <v>7</v>
      </c>
      <c r="H180" s="178" t="str">
        <f t="shared" si="20"/>
        <v>0713</v>
      </c>
      <c r="I180" s="178" t="str">
        <f t="shared" si="21"/>
        <v>04</v>
      </c>
      <c r="J180" s="178" t="str">
        <f t="shared" si="22"/>
        <v>07</v>
      </c>
      <c r="K180" s="178" t="str">
        <f t="shared" si="23"/>
        <v>4 0713 04 07</v>
      </c>
      <c r="L180" s="177" t="s">
        <v>332</v>
      </c>
      <c r="M180" s="178">
        <v>3</v>
      </c>
      <c r="N180" s="178">
        <v>2</v>
      </c>
      <c r="O180" s="178">
        <v>5</v>
      </c>
      <c r="P180" s="191">
        <f>IF(D180=4,VLOOKUP(C180,Szakmaszorzók!$B$2:$D$25,2,0),VLOOKUP(C180,Szakmaszorzók!$B$2:$D$25,3,0))</f>
        <v>2.42</v>
      </c>
      <c r="Q180" s="192">
        <f>'Támogatás szorzat tényezői'!$C$2*'Támogatás szorzat tényezői'!$C$3*N180*P180</f>
        <v>871200</v>
      </c>
      <c r="R180" s="192">
        <f>'Támogatás szorzat tényezői'!$C$2*'Támogatás szorzat tényezői'!$C$3*P180</f>
        <v>435600</v>
      </c>
    </row>
    <row r="181" spans="1:18" x14ac:dyDescent="0.25">
      <c r="A181" s="178">
        <v>67</v>
      </c>
      <c r="B181" s="177" t="s">
        <v>1418</v>
      </c>
      <c r="C181" s="178" t="s">
        <v>1315</v>
      </c>
      <c r="D181" s="178">
        <v>4</v>
      </c>
      <c r="E181" s="178">
        <v>732</v>
      </c>
      <c r="F181" s="178">
        <v>7</v>
      </c>
      <c r="G181" s="178">
        <v>4</v>
      </c>
      <c r="H181" s="178" t="str">
        <f t="shared" si="20"/>
        <v>0732</v>
      </c>
      <c r="I181" s="178" t="str">
        <f t="shared" si="21"/>
        <v>07</v>
      </c>
      <c r="J181" s="178" t="str">
        <f t="shared" si="22"/>
        <v>04</v>
      </c>
      <c r="K181" s="178" t="str">
        <f t="shared" si="23"/>
        <v>4 0732 07 04</v>
      </c>
      <c r="L181" s="177" t="s">
        <v>1418</v>
      </c>
      <c r="M181" s="178">
        <v>3</v>
      </c>
      <c r="N181" s="178">
        <v>2</v>
      </c>
      <c r="O181" s="178">
        <v>5</v>
      </c>
      <c r="P181" s="191">
        <f>IF(D181=4,VLOOKUP(C181,Szakmaszorzók!$B$2:$D$25,2,0),VLOOKUP(C181,Szakmaszorzók!$B$2:$D$25,3,0))</f>
        <v>2.42</v>
      </c>
      <c r="Q181" s="192">
        <f>'Támogatás szorzat tényezői'!$C$2*'Támogatás szorzat tényezői'!$C$3*N181*P181</f>
        <v>871200</v>
      </c>
      <c r="R181" s="192">
        <f>'Támogatás szorzat tényezői'!$C$2*'Támogatás szorzat tényezői'!$C$3*P181</f>
        <v>435600</v>
      </c>
    </row>
    <row r="182" spans="1:18" x14ac:dyDescent="0.25">
      <c r="A182" s="178">
        <v>100</v>
      </c>
      <c r="B182" s="177" t="s">
        <v>1419</v>
      </c>
      <c r="C182" s="178" t="s">
        <v>1347</v>
      </c>
      <c r="D182" s="178">
        <v>4</v>
      </c>
      <c r="E182" s="178">
        <v>1021</v>
      </c>
      <c r="F182" s="178">
        <v>14</v>
      </c>
      <c r="G182" s="178">
        <v>3</v>
      </c>
      <c r="H182" s="178">
        <f t="shared" si="20"/>
        <v>1021</v>
      </c>
      <c r="I182" s="178">
        <f t="shared" si="21"/>
        <v>14</v>
      </c>
      <c r="J182" s="178" t="str">
        <f t="shared" si="22"/>
        <v>03</v>
      </c>
      <c r="K182" s="178" t="str">
        <f t="shared" si="23"/>
        <v>4 1021 14 03</v>
      </c>
      <c r="L182" s="177" t="s">
        <v>1419</v>
      </c>
      <c r="M182" s="178">
        <v>3</v>
      </c>
      <c r="N182" s="178">
        <v>2</v>
      </c>
      <c r="O182" s="178">
        <v>4</v>
      </c>
      <c r="P182" s="191">
        <f>IF(D182=4,VLOOKUP(C182,Szakmaszorzók!$B$2:$D$25,2,0),VLOOKUP(C182,Szakmaszorzók!$B$2:$D$25,3,0))</f>
        <v>2.42</v>
      </c>
      <c r="Q182" s="192">
        <f>'Támogatás szorzat tényezői'!$C$2*'Támogatás szorzat tényezői'!$C$3*N182*P182</f>
        <v>871200</v>
      </c>
      <c r="R182" s="192">
        <f>'Támogatás szorzat tényezői'!$C$2*'Támogatás szorzat tényezői'!$C$3*P182</f>
        <v>435600</v>
      </c>
    </row>
    <row r="183" spans="1:18" x14ac:dyDescent="0.25">
      <c r="A183" s="178">
        <v>101</v>
      </c>
      <c r="B183" s="177" t="s">
        <v>1420</v>
      </c>
      <c r="C183" s="178" t="s">
        <v>1347</v>
      </c>
      <c r="D183" s="178">
        <v>5</v>
      </c>
      <c r="E183" s="178">
        <v>1021</v>
      </c>
      <c r="F183" s="178">
        <v>14</v>
      </c>
      <c r="G183" s="178">
        <v>4</v>
      </c>
      <c r="H183" s="178">
        <f t="shared" si="20"/>
        <v>1021</v>
      </c>
      <c r="I183" s="178">
        <f t="shared" si="21"/>
        <v>14</v>
      </c>
      <c r="J183" s="178" t="str">
        <f t="shared" si="22"/>
        <v>04</v>
      </c>
      <c r="K183" s="178" t="str">
        <f t="shared" si="23"/>
        <v>5 1021 14 04</v>
      </c>
      <c r="L183" s="177" t="s">
        <v>1420</v>
      </c>
      <c r="M183" s="178">
        <v>5</v>
      </c>
      <c r="N183" s="178">
        <v>2</v>
      </c>
      <c r="O183" s="178">
        <v>6</v>
      </c>
      <c r="P183" s="191">
        <f>IF(D183=4,VLOOKUP(C183,Szakmaszorzók!$B$2:$D$25,2,0),VLOOKUP(C183,Szakmaszorzók!$B$2:$D$25,3,0))</f>
        <v>2.85</v>
      </c>
      <c r="Q183" s="192">
        <f>'Támogatás szorzat tényezői'!$C$2*'Támogatás szorzat tényezői'!$C$3*N183*P183</f>
        <v>1026000</v>
      </c>
      <c r="R183" s="192">
        <f>'Támogatás szorzat tényezői'!$C$2*'Támogatás szorzat tényezői'!$C$3*P183</f>
        <v>513000</v>
      </c>
    </row>
    <row r="186" spans="1:18" x14ac:dyDescent="0.25">
      <c r="A186" s="182"/>
    </row>
    <row r="187" spans="1:18" x14ac:dyDescent="0.25">
      <c r="A187" s="182"/>
    </row>
    <row r="188" spans="1:18" x14ac:dyDescent="0.25">
      <c r="A188" s="182"/>
    </row>
    <row r="189" spans="1:18" x14ac:dyDescent="0.25">
      <c r="A189" s="182"/>
    </row>
    <row r="190" spans="1:18" x14ac:dyDescent="0.25">
      <c r="A190" s="182"/>
    </row>
    <row r="191" spans="1:18" x14ac:dyDescent="0.25">
      <c r="A191" s="182"/>
    </row>
    <row r="192" spans="1:18" x14ac:dyDescent="0.25">
      <c r="A192" s="182"/>
    </row>
    <row r="193" spans="1:1" x14ac:dyDescent="0.25">
      <c r="A193" s="182"/>
    </row>
    <row r="194" spans="1:1" x14ac:dyDescent="0.25">
      <c r="A194" s="182"/>
    </row>
    <row r="195" spans="1:1" x14ac:dyDescent="0.25">
      <c r="A195" s="182"/>
    </row>
    <row r="196" spans="1:1" x14ac:dyDescent="0.25">
      <c r="A196" s="182"/>
    </row>
    <row r="197" spans="1:1" x14ac:dyDescent="0.25">
      <c r="A197" s="182"/>
    </row>
    <row r="198" spans="1:1" x14ac:dyDescent="0.25">
      <c r="A198" s="182"/>
    </row>
    <row r="199" spans="1:1" x14ac:dyDescent="0.25">
      <c r="A199" s="182"/>
    </row>
    <row r="200" spans="1:1" x14ac:dyDescent="0.25">
      <c r="A200" s="182"/>
    </row>
    <row r="201" spans="1:1" x14ac:dyDescent="0.25">
      <c r="A201" s="182"/>
    </row>
    <row r="202" spans="1:1" x14ac:dyDescent="0.25">
      <c r="A202" s="182"/>
    </row>
    <row r="203" spans="1:1" x14ac:dyDescent="0.25">
      <c r="A203" s="182"/>
    </row>
    <row r="204" spans="1:1" x14ac:dyDescent="0.25">
      <c r="A204" s="182"/>
    </row>
    <row r="205" spans="1:1" x14ac:dyDescent="0.25">
      <c r="A205" s="182"/>
    </row>
    <row r="206" spans="1:1" x14ac:dyDescent="0.25">
      <c r="A206" s="182"/>
    </row>
    <row r="207" spans="1:1" x14ac:dyDescent="0.25">
      <c r="A207" s="182"/>
    </row>
    <row r="208" spans="1:1" x14ac:dyDescent="0.25">
      <c r="A208" s="182"/>
    </row>
    <row r="209" spans="1:1" x14ac:dyDescent="0.25">
      <c r="A209" s="182"/>
    </row>
    <row r="210" spans="1:1" x14ac:dyDescent="0.25">
      <c r="A210" s="182"/>
    </row>
    <row r="211" spans="1:1" x14ac:dyDescent="0.25">
      <c r="A211" s="182"/>
    </row>
    <row r="212" spans="1:1" x14ac:dyDescent="0.25">
      <c r="A212" s="182"/>
    </row>
    <row r="213" spans="1:1" x14ac:dyDescent="0.25">
      <c r="A213" s="182"/>
    </row>
    <row r="214" spans="1:1" x14ac:dyDescent="0.25">
      <c r="A214" s="182"/>
    </row>
    <row r="215" spans="1:1" x14ac:dyDescent="0.25">
      <c r="A215" s="182"/>
    </row>
    <row r="216" spans="1:1" x14ac:dyDescent="0.25">
      <c r="A216" s="182"/>
    </row>
    <row r="217" spans="1:1" x14ac:dyDescent="0.25">
      <c r="A217" s="182"/>
    </row>
    <row r="218" spans="1:1" x14ac:dyDescent="0.25">
      <c r="A218" s="182"/>
    </row>
  </sheetData>
  <autoFilter ref="A6:R183"/>
  <dataConsolidate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4"/>
  <sheetViews>
    <sheetView zoomScale="70" zoomScaleNormal="70" workbookViewId="0">
      <selection activeCell="H209" sqref="H209"/>
    </sheetView>
  </sheetViews>
  <sheetFormatPr defaultColWidth="9.140625" defaultRowHeight="15" x14ac:dyDescent="0.25"/>
  <cols>
    <col min="1" max="1" width="6.5703125" style="106" customWidth="1"/>
    <col min="2" max="2" width="84.85546875" style="106" customWidth="1"/>
    <col min="3" max="3" width="17.28515625" style="106" customWidth="1"/>
    <col min="4" max="4" width="16.7109375" style="106" customWidth="1"/>
    <col min="5" max="5" width="14.5703125" style="106" customWidth="1"/>
    <col min="6" max="6" width="15.140625" style="106" customWidth="1"/>
    <col min="7" max="7" width="31.42578125" style="106" customWidth="1"/>
    <col min="8" max="8" width="18" style="106" bestFit="1" customWidth="1"/>
    <col min="9" max="9" width="18.85546875" style="106" bestFit="1" customWidth="1"/>
    <col min="10" max="11" width="18.85546875" style="106" customWidth="1"/>
    <col min="12" max="12" width="96.85546875" style="106" customWidth="1"/>
    <col min="13" max="13" width="16.85546875" style="106" customWidth="1"/>
    <col min="14" max="16384" width="9.140625" style="106"/>
  </cols>
  <sheetData>
    <row r="1" spans="1:13" ht="97.5" customHeight="1" x14ac:dyDescent="0.25">
      <c r="A1" s="200" t="s">
        <v>1968</v>
      </c>
      <c r="B1" s="201" t="s">
        <v>1421</v>
      </c>
      <c r="C1" s="201" t="s">
        <v>2771</v>
      </c>
      <c r="D1" s="201" t="s">
        <v>2413</v>
      </c>
      <c r="E1" s="201" t="s">
        <v>2414</v>
      </c>
      <c r="F1" s="201" t="s">
        <v>372</v>
      </c>
      <c r="G1" s="201" t="s">
        <v>2772</v>
      </c>
      <c r="H1" s="201" t="s">
        <v>2773</v>
      </c>
      <c r="I1" s="201" t="s">
        <v>2774</v>
      </c>
      <c r="J1" s="201" t="s">
        <v>1970</v>
      </c>
      <c r="K1" s="201" t="s">
        <v>2020</v>
      </c>
      <c r="L1" s="202" t="s">
        <v>2770</v>
      </c>
      <c r="M1" s="206" t="s">
        <v>2805</v>
      </c>
    </row>
    <row r="2" spans="1:13" ht="15.75" x14ac:dyDescent="0.25">
      <c r="A2" s="207">
        <v>287</v>
      </c>
      <c r="B2" s="6" t="s">
        <v>2731</v>
      </c>
      <c r="C2" s="204" t="s">
        <v>2794</v>
      </c>
      <c r="D2" s="204" t="str">
        <f t="shared" ref="D2:D33" si="0">LEFT(C2,4)</f>
        <v>0411</v>
      </c>
      <c r="E2" s="204" t="str">
        <f t="shared" ref="E2:E33" si="1">LEFT(RIGHT(C2,4),1)</f>
        <v>5</v>
      </c>
      <c r="F2" s="205" t="str">
        <f t="shared" ref="F2:F33" si="2">RIGHT(C2,3)</f>
        <v>006</v>
      </c>
      <c r="G2" s="6" t="s">
        <v>1389</v>
      </c>
      <c r="H2" s="6">
        <v>310</v>
      </c>
      <c r="I2" s="6">
        <v>560</v>
      </c>
      <c r="J2" s="6">
        <f>IF(OR(G2="ágazaton kívüli",G2="n.a."),2.2,IF(OR(E2=2,E2=3,E2=4),VLOOKUP(G2,Szakmaszorzók!$B$2:$D$25,2,0),VLOOKUP(G2,Szakmaszorzók!$B$2:$D$25,3,0)))</f>
        <v>2.2000000000000002</v>
      </c>
      <c r="K2" s="173">
        <f>'Támogatás szorzat tényezői'!$C$2*'Támogatás szorzat tényezői'!$C$5*J2*(H2/1000)</f>
        <v>245520.00000000003</v>
      </c>
      <c r="L2" s="203" t="s">
        <v>2322</v>
      </c>
      <c r="M2" s="6">
        <f t="shared" ref="M2:M65" si="3">LEN(C2)</f>
        <v>8</v>
      </c>
    </row>
    <row r="3" spans="1:13" ht="15.75" customHeight="1" x14ac:dyDescent="0.25">
      <c r="A3" s="207">
        <v>288</v>
      </c>
      <c r="B3" s="6" t="s">
        <v>2732</v>
      </c>
      <c r="C3" s="204" t="s">
        <v>2795</v>
      </c>
      <c r="D3" s="204" t="str">
        <f t="shared" si="0"/>
        <v>0411</v>
      </c>
      <c r="E3" s="204" t="str">
        <f t="shared" si="1"/>
        <v>5</v>
      </c>
      <c r="F3" s="205" t="str">
        <f t="shared" si="2"/>
        <v>005</v>
      </c>
      <c r="G3" s="6" t="s">
        <v>1389</v>
      </c>
      <c r="H3" s="6">
        <v>160</v>
      </c>
      <c r="I3" s="6">
        <v>240</v>
      </c>
      <c r="J3" s="6">
        <f>IF(OR(G3="ágazaton kívüli",G3="n.a."),2.2,IF(OR(E3=2,E3=3,E3=4),VLOOKUP(G3,Szakmaszorzók!$B$2:$D$25,2,0),VLOOKUP(G3,Szakmaszorzók!$B$2:$D$25,3,0)))</f>
        <v>2.2000000000000002</v>
      </c>
      <c r="K3" s="173">
        <f>'Támogatás szorzat tényezői'!$C$2*'Támogatás szorzat tényezői'!$C$5*J3*(H3/1000)</f>
        <v>126720.00000000001</v>
      </c>
      <c r="L3" s="203" t="s">
        <v>2323</v>
      </c>
      <c r="M3" s="6">
        <f t="shared" si="3"/>
        <v>8</v>
      </c>
    </row>
    <row r="4" spans="1:13" ht="15.75" x14ac:dyDescent="0.25">
      <c r="A4" s="207">
        <v>1</v>
      </c>
      <c r="B4" s="6" t="s">
        <v>2574</v>
      </c>
      <c r="C4" s="204" t="s">
        <v>1706</v>
      </c>
      <c r="D4" s="204" t="str">
        <f t="shared" si="0"/>
        <v>0841</v>
      </c>
      <c r="E4" s="204" t="str">
        <f t="shared" si="1"/>
        <v>5</v>
      </c>
      <c r="F4" s="205" t="str">
        <f t="shared" si="2"/>
        <v>001</v>
      </c>
      <c r="G4" s="6" t="s">
        <v>1316</v>
      </c>
      <c r="H4" s="6">
        <v>500</v>
      </c>
      <c r="I4" s="6">
        <v>600</v>
      </c>
      <c r="J4" s="6">
        <f>IF(OR(G4="ágazaton kívüli",G4="n.a."),2.2,IF(OR(E4=2,E4=3,E4=4),VLOOKUP(G4,Szakmaszorzók!$B$2:$D$25,2,0),VLOOKUP(G4,Szakmaszorzók!$B$2:$D$25,3,0)))</f>
        <v>2.85</v>
      </c>
      <c r="K4" s="173">
        <f>'Támogatás szorzat tényezői'!$C$2*'Támogatás szorzat tényezői'!$C$5*J4*(H4/1000)</f>
        <v>513000</v>
      </c>
      <c r="L4" s="203" t="s">
        <v>2036</v>
      </c>
      <c r="M4" s="6">
        <f t="shared" si="3"/>
        <v>8</v>
      </c>
    </row>
    <row r="5" spans="1:13" ht="15.75" x14ac:dyDescent="0.25">
      <c r="A5" s="207">
        <v>152</v>
      </c>
      <c r="B5" s="6" t="s">
        <v>2699</v>
      </c>
      <c r="C5" s="204" t="s">
        <v>2789</v>
      </c>
      <c r="D5" s="208" t="str">
        <f t="shared" si="0"/>
        <v>0214</v>
      </c>
      <c r="E5" s="208" t="str">
        <f t="shared" si="1"/>
        <v>5</v>
      </c>
      <c r="F5" s="209" t="str">
        <f t="shared" si="2"/>
        <v>022</v>
      </c>
      <c r="G5" s="210" t="s">
        <v>1883</v>
      </c>
      <c r="H5" s="6">
        <v>480</v>
      </c>
      <c r="I5" s="6">
        <v>720</v>
      </c>
      <c r="J5" s="6">
        <f>IF(OR(G5="ágazaton kívüli",G5="n.a."),2.2,IF(OR(E5=2,E5=3,E5=4),VLOOKUP(G5,Szakmaszorzók!$B$2:$D$25,2,0),VLOOKUP(G5,Szakmaszorzók!$B$2:$D$25,3,0)))</f>
        <v>2.2000000000000002</v>
      </c>
      <c r="K5" s="173">
        <f>'Támogatás szorzat tényezői'!$C$2*'Támogatás szorzat tényezői'!$C$5*J5*(H5/1000)</f>
        <v>380160.00000000006</v>
      </c>
      <c r="L5" s="203" t="s">
        <v>2187</v>
      </c>
      <c r="M5" s="6">
        <f t="shared" si="3"/>
        <v>8</v>
      </c>
    </row>
    <row r="6" spans="1:13" ht="15.75" x14ac:dyDescent="0.25">
      <c r="A6" s="207">
        <v>175</v>
      </c>
      <c r="B6" s="6" t="s">
        <v>2445</v>
      </c>
      <c r="C6" s="204" t="s">
        <v>1422</v>
      </c>
      <c r="D6" s="208" t="str">
        <f t="shared" si="0"/>
        <v>0215</v>
      </c>
      <c r="E6" s="208" t="str">
        <f t="shared" si="1"/>
        <v>5</v>
      </c>
      <c r="F6" s="209" t="str">
        <f t="shared" si="2"/>
        <v>007</v>
      </c>
      <c r="G6" s="210" t="s">
        <v>1883</v>
      </c>
      <c r="H6" s="6">
        <v>900</v>
      </c>
      <c r="I6" s="6">
        <v>1300</v>
      </c>
      <c r="J6" s="6">
        <f>IF(OR(G6="ágazaton kívüli",G6="n.a."),2.2,IF(OR(E6=2,E6=3,E6=4),VLOOKUP(G6,Szakmaszorzók!$B$2:$D$25,2,0),VLOOKUP(G6,Szakmaszorzók!$B$2:$D$25,3,0)))</f>
        <v>2.2000000000000002</v>
      </c>
      <c r="K6" s="173">
        <f>'Támogatás szorzat tényezői'!$C$2*'Támogatás szorzat tényezői'!$C$5*J6*(H6/1000)</f>
        <v>712800.00000000012</v>
      </c>
      <c r="L6" s="203" t="s">
        <v>2210</v>
      </c>
      <c r="M6" s="6">
        <f t="shared" si="3"/>
        <v>8</v>
      </c>
    </row>
    <row r="7" spans="1:13" ht="15.75" x14ac:dyDescent="0.25">
      <c r="A7" s="207">
        <v>176</v>
      </c>
      <c r="B7" s="6" t="s">
        <v>2446</v>
      </c>
      <c r="C7" s="204" t="s">
        <v>1423</v>
      </c>
      <c r="D7" s="208" t="str">
        <f t="shared" si="0"/>
        <v>0215</v>
      </c>
      <c r="E7" s="208" t="str">
        <f t="shared" si="1"/>
        <v>5</v>
      </c>
      <c r="F7" s="209" t="str">
        <f t="shared" si="2"/>
        <v>008</v>
      </c>
      <c r="G7" s="210" t="s">
        <v>1883</v>
      </c>
      <c r="H7" s="6">
        <v>900</v>
      </c>
      <c r="I7" s="6">
        <v>1300</v>
      </c>
      <c r="J7" s="6">
        <f>IF(OR(G7="ágazaton kívüli",G7="n.a."),2.2,IF(OR(E7=2,E7=3,E7=4),VLOOKUP(G7,Szakmaszorzók!$B$2:$D$25,2,0),VLOOKUP(G7,Szakmaszorzók!$B$2:$D$25,3,0)))</f>
        <v>2.2000000000000002</v>
      </c>
      <c r="K7" s="173">
        <f>'Támogatás szorzat tényezői'!$C$2*'Támogatás szorzat tényezői'!$C$5*J7*(H7/1000)</f>
        <v>712800.00000000012</v>
      </c>
      <c r="L7" s="203" t="s">
        <v>2211</v>
      </c>
      <c r="M7" s="6">
        <f t="shared" si="3"/>
        <v>8</v>
      </c>
    </row>
    <row r="8" spans="1:13" ht="15.75" x14ac:dyDescent="0.25">
      <c r="A8" s="207">
        <v>177</v>
      </c>
      <c r="B8" s="6" t="s">
        <v>2447</v>
      </c>
      <c r="C8" s="204" t="s">
        <v>1424</v>
      </c>
      <c r="D8" s="208" t="str">
        <f t="shared" si="0"/>
        <v>0215</v>
      </c>
      <c r="E8" s="208" t="str">
        <f t="shared" si="1"/>
        <v>5</v>
      </c>
      <c r="F8" s="209" t="str">
        <f t="shared" si="2"/>
        <v>009</v>
      </c>
      <c r="G8" s="210" t="s">
        <v>1883</v>
      </c>
      <c r="H8" s="6">
        <v>900</v>
      </c>
      <c r="I8" s="6">
        <v>1300</v>
      </c>
      <c r="J8" s="6">
        <f>IF(OR(G8="ágazaton kívüli",G8="n.a."),2.2,IF(OR(E8=2,E8=3,E8=4),VLOOKUP(G8,Szakmaszorzók!$B$2:$D$25,2,0),VLOOKUP(G8,Szakmaszorzók!$B$2:$D$25,3,0)))</f>
        <v>2.2000000000000002</v>
      </c>
      <c r="K8" s="173">
        <f>'Támogatás szorzat tényezői'!$C$2*'Támogatás szorzat tényezői'!$C$5*J8*(H8/1000)</f>
        <v>712800.00000000012</v>
      </c>
      <c r="L8" s="203" t="s">
        <v>2212</v>
      </c>
      <c r="M8" s="6">
        <f t="shared" si="3"/>
        <v>8</v>
      </c>
    </row>
    <row r="9" spans="1:13" ht="15.75" x14ac:dyDescent="0.25">
      <c r="A9" s="207">
        <v>178</v>
      </c>
      <c r="B9" s="6" t="s">
        <v>2448</v>
      </c>
      <c r="C9" s="204" t="s">
        <v>1425</v>
      </c>
      <c r="D9" s="208" t="str">
        <f t="shared" si="0"/>
        <v>0215</v>
      </c>
      <c r="E9" s="208" t="str">
        <f t="shared" si="1"/>
        <v>5</v>
      </c>
      <c r="F9" s="209" t="str">
        <f t="shared" si="2"/>
        <v>010</v>
      </c>
      <c r="G9" s="210" t="s">
        <v>1883</v>
      </c>
      <c r="H9" s="6">
        <v>900</v>
      </c>
      <c r="I9" s="6">
        <v>1300</v>
      </c>
      <c r="J9" s="6">
        <f>IF(OR(G9="ágazaton kívüli",G9="n.a."),2.2,IF(OR(E9=2,E9=3,E9=4),VLOOKUP(G9,Szakmaszorzók!$B$2:$D$25,2,0),VLOOKUP(G9,Szakmaszorzók!$B$2:$D$25,3,0)))</f>
        <v>2.2000000000000002</v>
      </c>
      <c r="K9" s="173">
        <f>'Támogatás szorzat tényezői'!$C$2*'Támogatás szorzat tényezői'!$C$5*J9*(H9/1000)</f>
        <v>712800.00000000012</v>
      </c>
      <c r="L9" s="203" t="s">
        <v>2213</v>
      </c>
      <c r="M9" s="6">
        <f t="shared" si="3"/>
        <v>8</v>
      </c>
    </row>
    <row r="10" spans="1:13" ht="15.75" x14ac:dyDescent="0.25">
      <c r="A10" s="207">
        <v>179</v>
      </c>
      <c r="B10" s="6" t="s">
        <v>2449</v>
      </c>
      <c r="C10" s="204" t="s">
        <v>1426</v>
      </c>
      <c r="D10" s="208" t="str">
        <f t="shared" si="0"/>
        <v>0215</v>
      </c>
      <c r="E10" s="208" t="str">
        <f t="shared" si="1"/>
        <v>5</v>
      </c>
      <c r="F10" s="209" t="str">
        <f t="shared" si="2"/>
        <v>011</v>
      </c>
      <c r="G10" s="210" t="s">
        <v>1883</v>
      </c>
      <c r="H10" s="6">
        <v>900</v>
      </c>
      <c r="I10" s="6">
        <v>1300</v>
      </c>
      <c r="J10" s="6">
        <f>IF(OR(G10="ágazaton kívüli",G10="n.a."),2.2,IF(OR(E10=2,E10=3,E10=4),VLOOKUP(G10,Szakmaszorzók!$B$2:$D$25,2,0),VLOOKUP(G10,Szakmaszorzók!$B$2:$D$25,3,0)))</f>
        <v>2.2000000000000002</v>
      </c>
      <c r="K10" s="173">
        <f>'Támogatás szorzat tényezői'!$C$2*'Támogatás szorzat tényezői'!$C$5*J10*(H10/1000)</f>
        <v>712800.00000000012</v>
      </c>
      <c r="L10" s="203" t="s">
        <v>2214</v>
      </c>
      <c r="M10" s="6">
        <f t="shared" si="3"/>
        <v>8</v>
      </c>
    </row>
    <row r="11" spans="1:13" ht="15.75" x14ac:dyDescent="0.25">
      <c r="A11" s="207">
        <v>180</v>
      </c>
      <c r="B11" s="6" t="s">
        <v>2545</v>
      </c>
      <c r="C11" s="204" t="s">
        <v>1427</v>
      </c>
      <c r="D11" s="208" t="str">
        <f t="shared" si="0"/>
        <v>0215</v>
      </c>
      <c r="E11" s="208" t="str">
        <f t="shared" si="1"/>
        <v>5</v>
      </c>
      <c r="F11" s="209" t="str">
        <f t="shared" si="2"/>
        <v>012</v>
      </c>
      <c r="G11" s="210" t="s">
        <v>1883</v>
      </c>
      <c r="H11" s="6">
        <v>900</v>
      </c>
      <c r="I11" s="6">
        <v>1300</v>
      </c>
      <c r="J11" s="6">
        <f>IF(OR(G11="ágazaton kívüli",G11="n.a."),2.2,IF(OR(E11=2,E11=3,E11=4),VLOOKUP(G11,Szakmaszorzók!$B$2:$D$25,2,0),VLOOKUP(G11,Szakmaszorzók!$B$2:$D$25,3,0)))</f>
        <v>2.2000000000000002</v>
      </c>
      <c r="K11" s="173">
        <f>'Támogatás szorzat tényezői'!$C$2*'Támogatás szorzat tényezői'!$C$5*J11*(H11/1000)</f>
        <v>712800.00000000012</v>
      </c>
      <c r="L11" s="203" t="s">
        <v>2215</v>
      </c>
      <c r="M11" s="6">
        <f t="shared" si="3"/>
        <v>8</v>
      </c>
    </row>
    <row r="12" spans="1:13" ht="15.75" x14ac:dyDescent="0.25">
      <c r="A12" s="207">
        <v>181</v>
      </c>
      <c r="B12" s="6" t="s">
        <v>2546</v>
      </c>
      <c r="C12" s="204" t="s">
        <v>1428</v>
      </c>
      <c r="D12" s="208" t="str">
        <f t="shared" si="0"/>
        <v>0215</v>
      </c>
      <c r="E12" s="208" t="str">
        <f t="shared" si="1"/>
        <v>4</v>
      </c>
      <c r="F12" s="209" t="str">
        <f t="shared" si="2"/>
        <v>001</v>
      </c>
      <c r="G12" s="210" t="s">
        <v>1883</v>
      </c>
      <c r="H12" s="6">
        <v>2000</v>
      </c>
      <c r="I12" s="6">
        <v>2700</v>
      </c>
      <c r="J12" s="6">
        <f>IF(OR(G12="ágazaton kívüli",G12="n.a."),2.2,IF(OR(E12=2,E12=3,E12=4),VLOOKUP(G12,Szakmaszorzók!$B$2:$D$25,2,0),VLOOKUP(G12,Szakmaszorzók!$B$2:$D$25,3,0)))</f>
        <v>2.2000000000000002</v>
      </c>
      <c r="K12" s="173">
        <f>'Támogatás szorzat tényezői'!$C$2*'Támogatás szorzat tényezői'!$C$5*J12*(H12/1000)</f>
        <v>1584000.0000000002</v>
      </c>
      <c r="L12" s="203" t="s">
        <v>2216</v>
      </c>
      <c r="M12" s="6">
        <f t="shared" si="3"/>
        <v>8</v>
      </c>
    </row>
    <row r="13" spans="1:13" ht="15.75" x14ac:dyDescent="0.25">
      <c r="A13" s="207">
        <v>182</v>
      </c>
      <c r="B13" s="6" t="s">
        <v>2547</v>
      </c>
      <c r="C13" s="204" t="s">
        <v>1429</v>
      </c>
      <c r="D13" s="208" t="str">
        <f t="shared" si="0"/>
        <v>0215</v>
      </c>
      <c r="E13" s="208" t="str">
        <f t="shared" si="1"/>
        <v>4</v>
      </c>
      <c r="F13" s="209" t="str">
        <f t="shared" si="2"/>
        <v>002</v>
      </c>
      <c r="G13" s="210" t="s">
        <v>1883</v>
      </c>
      <c r="H13" s="6">
        <v>2000</v>
      </c>
      <c r="I13" s="6">
        <v>2700</v>
      </c>
      <c r="J13" s="6">
        <f>IF(OR(G13="ágazaton kívüli",G13="n.a."),2.2,IF(OR(E13=2,E13=3,E13=4),VLOOKUP(G13,Szakmaszorzók!$B$2:$D$25,2,0),VLOOKUP(G13,Szakmaszorzók!$B$2:$D$25,3,0)))</f>
        <v>2.2000000000000002</v>
      </c>
      <c r="K13" s="173">
        <f>'Támogatás szorzat tényezői'!$C$2*'Támogatás szorzat tényezői'!$C$5*J13*(H13/1000)</f>
        <v>1584000.0000000002</v>
      </c>
      <c r="L13" s="203" t="s">
        <v>2217</v>
      </c>
      <c r="M13" s="6">
        <f t="shared" si="3"/>
        <v>8</v>
      </c>
    </row>
    <row r="14" spans="1:13" ht="15.75" x14ac:dyDescent="0.25">
      <c r="A14" s="207">
        <v>183</v>
      </c>
      <c r="B14" s="6" t="s">
        <v>2548</v>
      </c>
      <c r="C14" s="204" t="s">
        <v>1430</v>
      </c>
      <c r="D14" s="208" t="str">
        <f t="shared" si="0"/>
        <v>0215</v>
      </c>
      <c r="E14" s="208" t="str">
        <f t="shared" si="1"/>
        <v>4</v>
      </c>
      <c r="F14" s="209" t="str">
        <f t="shared" si="2"/>
        <v>003</v>
      </c>
      <c r="G14" s="210" t="s">
        <v>1883</v>
      </c>
      <c r="H14" s="6">
        <v>2000</v>
      </c>
      <c r="I14" s="6">
        <v>2700</v>
      </c>
      <c r="J14" s="6">
        <f>IF(OR(G14="ágazaton kívüli",G14="n.a."),2.2,IF(OR(E14=2,E14=3,E14=4),VLOOKUP(G14,Szakmaszorzók!$B$2:$D$25,2,0),VLOOKUP(G14,Szakmaszorzók!$B$2:$D$25,3,0)))</f>
        <v>2.2000000000000002</v>
      </c>
      <c r="K14" s="173">
        <f>'Támogatás szorzat tényezői'!$C$2*'Támogatás szorzat tényezői'!$C$5*J14*(H14/1000)</f>
        <v>1584000.0000000002</v>
      </c>
      <c r="L14" s="203" t="s">
        <v>2218</v>
      </c>
      <c r="M14" s="6">
        <f t="shared" si="3"/>
        <v>8</v>
      </c>
    </row>
    <row r="15" spans="1:13" ht="15.75" x14ac:dyDescent="0.25">
      <c r="A15" s="207">
        <v>184</v>
      </c>
      <c r="B15" s="6" t="s">
        <v>2549</v>
      </c>
      <c r="C15" s="204" t="s">
        <v>1431</v>
      </c>
      <c r="D15" s="208" t="str">
        <f t="shared" si="0"/>
        <v>0215</v>
      </c>
      <c r="E15" s="208" t="str">
        <f t="shared" si="1"/>
        <v>4</v>
      </c>
      <c r="F15" s="209" t="str">
        <f t="shared" si="2"/>
        <v>004</v>
      </c>
      <c r="G15" s="210" t="s">
        <v>1883</v>
      </c>
      <c r="H15" s="6">
        <v>2000</v>
      </c>
      <c r="I15" s="6">
        <v>2700</v>
      </c>
      <c r="J15" s="6">
        <f>IF(OR(G15="ágazaton kívüli",G15="n.a."),2.2,IF(OR(E15=2,E15=3,E15=4),VLOOKUP(G15,Szakmaszorzók!$B$2:$D$25,2,0),VLOOKUP(G15,Szakmaszorzók!$B$2:$D$25,3,0)))</f>
        <v>2.2000000000000002</v>
      </c>
      <c r="K15" s="173">
        <f>'Támogatás szorzat tényezői'!$C$2*'Támogatás szorzat tényezői'!$C$5*J15*(H15/1000)</f>
        <v>1584000.0000000002</v>
      </c>
      <c r="L15" s="203" t="s">
        <v>2219</v>
      </c>
      <c r="M15" s="6">
        <f t="shared" si="3"/>
        <v>8</v>
      </c>
    </row>
    <row r="16" spans="1:13" ht="15.75" x14ac:dyDescent="0.25">
      <c r="A16" s="207">
        <v>185</v>
      </c>
      <c r="B16" s="6" t="s">
        <v>2550</v>
      </c>
      <c r="C16" s="204" t="s">
        <v>1432</v>
      </c>
      <c r="D16" s="208" t="str">
        <f t="shared" si="0"/>
        <v>0215</v>
      </c>
      <c r="E16" s="208" t="str">
        <f t="shared" si="1"/>
        <v>4</v>
      </c>
      <c r="F16" s="209" t="str">
        <f t="shared" si="2"/>
        <v>005</v>
      </c>
      <c r="G16" s="210" t="s">
        <v>1883</v>
      </c>
      <c r="H16" s="6">
        <v>2000</v>
      </c>
      <c r="I16" s="6">
        <v>2700</v>
      </c>
      <c r="J16" s="6">
        <f>IF(OR(G16="ágazaton kívüli",G16="n.a."),2.2,IF(OR(E16=2,E16=3,E16=4),VLOOKUP(G16,Szakmaszorzók!$B$2:$D$25,2,0),VLOOKUP(G16,Szakmaszorzók!$B$2:$D$25,3,0)))</f>
        <v>2.2000000000000002</v>
      </c>
      <c r="K16" s="173">
        <f>'Támogatás szorzat tényezői'!$C$2*'Támogatás szorzat tényezői'!$C$5*J16*(H16/1000)</f>
        <v>1584000.0000000002</v>
      </c>
      <c r="L16" s="203" t="s">
        <v>2220</v>
      </c>
      <c r="M16" s="6">
        <f t="shared" si="3"/>
        <v>8</v>
      </c>
    </row>
    <row r="17" spans="1:13" ht="15.75" x14ac:dyDescent="0.25">
      <c r="A17" s="207">
        <v>186</v>
      </c>
      <c r="B17" s="6" t="s">
        <v>2450</v>
      </c>
      <c r="C17" s="204" t="s">
        <v>1433</v>
      </c>
      <c r="D17" s="208" t="str">
        <f t="shared" si="0"/>
        <v>0215</v>
      </c>
      <c r="E17" s="208" t="str">
        <f t="shared" si="1"/>
        <v>4</v>
      </c>
      <c r="F17" s="209" t="str">
        <f t="shared" si="2"/>
        <v>006</v>
      </c>
      <c r="G17" s="210" t="s">
        <v>1883</v>
      </c>
      <c r="H17" s="6">
        <v>2000</v>
      </c>
      <c r="I17" s="6">
        <v>2700</v>
      </c>
      <c r="J17" s="6">
        <f>IF(OR(G17="ágazaton kívüli",G17="n.a."),2.2,IF(OR(E17=2,E17=3,E17=4),VLOOKUP(G17,Szakmaszorzók!$B$2:$D$25,2,0),VLOOKUP(G17,Szakmaszorzók!$B$2:$D$25,3,0)))</f>
        <v>2.2000000000000002</v>
      </c>
      <c r="K17" s="173">
        <f>'Támogatás szorzat tényezői'!$C$2*'Támogatás szorzat tényezői'!$C$5*J17*(H17/1000)</f>
        <v>1584000.0000000002</v>
      </c>
      <c r="L17" s="203" t="s">
        <v>2221</v>
      </c>
      <c r="M17" s="6">
        <f t="shared" si="3"/>
        <v>8</v>
      </c>
    </row>
    <row r="18" spans="1:13" ht="15.75" x14ac:dyDescent="0.25">
      <c r="A18" s="207">
        <v>2</v>
      </c>
      <c r="B18" s="6" t="s">
        <v>2575</v>
      </c>
      <c r="C18" s="204" t="s">
        <v>1434</v>
      </c>
      <c r="D18" s="204" t="str">
        <f t="shared" si="0"/>
        <v>0714</v>
      </c>
      <c r="E18" s="204" t="str">
        <f t="shared" si="1"/>
        <v>4</v>
      </c>
      <c r="F18" s="205" t="str">
        <f t="shared" si="2"/>
        <v>001</v>
      </c>
      <c r="G18" s="6" t="s">
        <v>1290</v>
      </c>
      <c r="H18" s="6">
        <v>500</v>
      </c>
      <c r="I18" s="6">
        <v>800</v>
      </c>
      <c r="J18" s="6">
        <f>IF(OR(G18="ágazaton kívüli",G18="n.a."),2.2,IF(OR(E18=2,E18=3,E18=4),VLOOKUP(G18,Szakmaszorzók!$B$2:$D$25,2,0),VLOOKUP(G18,Szakmaszorzók!$B$2:$D$25,3,0)))</f>
        <v>2.85</v>
      </c>
      <c r="K18" s="173">
        <f>'Támogatás szorzat tényezői'!$C$2*'Támogatás szorzat tényezői'!$C$5*J18*(H18/1000)</f>
        <v>513000</v>
      </c>
      <c r="L18" s="203" t="s">
        <v>2037</v>
      </c>
      <c r="M18" s="6">
        <f t="shared" si="3"/>
        <v>8</v>
      </c>
    </row>
    <row r="19" spans="1:13" ht="15.75" x14ac:dyDescent="0.25">
      <c r="A19" s="207">
        <v>315</v>
      </c>
      <c r="B19" s="6" t="s">
        <v>2742</v>
      </c>
      <c r="C19" s="204" t="s">
        <v>2802</v>
      </c>
      <c r="D19" s="204" t="str">
        <f t="shared" si="0"/>
        <v>0412</v>
      </c>
      <c r="E19" s="204" t="str">
        <f t="shared" si="1"/>
        <v>4</v>
      </c>
      <c r="F19" s="205" t="str">
        <f t="shared" si="2"/>
        <v>003</v>
      </c>
      <c r="G19" s="6" t="s">
        <v>1389</v>
      </c>
      <c r="H19" s="6">
        <v>160</v>
      </c>
      <c r="I19" s="6">
        <v>240</v>
      </c>
      <c r="J19" s="6">
        <f>IF(OR(G19="ágazaton kívüli",G19="n.a."),2.2,IF(OR(E19=2,E19=3,E19=4),VLOOKUP(G19,Szakmaszorzók!$B$2:$D$25,2,0),VLOOKUP(G19,Szakmaszorzók!$B$2:$D$25,3,0)))</f>
        <v>2.2000000000000002</v>
      </c>
      <c r="K19" s="173">
        <f>'Támogatás szorzat tényezői'!$C$2*'Támogatás szorzat tényezői'!$C$5*J19*(H19/1000)</f>
        <v>126720.00000000001</v>
      </c>
      <c r="L19" s="203" t="s">
        <v>2350</v>
      </c>
      <c r="M19" s="6">
        <f t="shared" si="3"/>
        <v>8</v>
      </c>
    </row>
    <row r="20" spans="1:13" ht="15.75" x14ac:dyDescent="0.25">
      <c r="A20" s="207">
        <v>297</v>
      </c>
      <c r="B20" s="6" t="s">
        <v>2568</v>
      </c>
      <c r="C20" s="204" t="s">
        <v>1435</v>
      </c>
      <c r="D20" s="204" t="str">
        <f t="shared" si="0"/>
        <v>0416</v>
      </c>
      <c r="E20" s="204" t="str">
        <f t="shared" si="1"/>
        <v>3</v>
      </c>
      <c r="F20" s="205" t="str">
        <f t="shared" si="2"/>
        <v>001</v>
      </c>
      <c r="G20" s="6" t="s">
        <v>1351</v>
      </c>
      <c r="H20" s="6">
        <v>100</v>
      </c>
      <c r="I20" s="6">
        <v>150</v>
      </c>
      <c r="J20" s="6">
        <f>IF(OR(G20="ágazaton kívüli",G20="n.a."),2.2,IF(OR(E20=2,E20=3,E20=4),VLOOKUP(G20,Szakmaszorzók!$B$2:$D$25,2,0),VLOOKUP(G20,Szakmaszorzók!$B$2:$D$25,3,0)))</f>
        <v>2.2000000000000002</v>
      </c>
      <c r="K20" s="173">
        <f>'Támogatás szorzat tényezői'!$C$2*'Támogatás szorzat tényezői'!$C$5*J20*(H20/1000)</f>
        <v>79200.000000000015</v>
      </c>
      <c r="L20" s="203" t="s">
        <v>2332</v>
      </c>
      <c r="M20" s="6">
        <f t="shared" si="3"/>
        <v>8</v>
      </c>
    </row>
    <row r="21" spans="1:13" ht="15.75" x14ac:dyDescent="0.25">
      <c r="A21" s="207">
        <v>298</v>
      </c>
      <c r="B21" s="6" t="s">
        <v>2508</v>
      </c>
      <c r="C21" s="204" t="s">
        <v>1634</v>
      </c>
      <c r="D21" s="204" t="str">
        <f t="shared" si="0"/>
        <v>0416</v>
      </c>
      <c r="E21" s="204" t="str">
        <f t="shared" si="1"/>
        <v>5</v>
      </c>
      <c r="F21" s="205" t="str">
        <f t="shared" si="2"/>
        <v>018</v>
      </c>
      <c r="G21" s="6" t="s">
        <v>1351</v>
      </c>
      <c r="H21" s="6">
        <v>880</v>
      </c>
      <c r="I21" s="6">
        <v>1320</v>
      </c>
      <c r="J21" s="6">
        <f>IF(OR(G21="ágazaton kívüli",G21="n.a."),2.2,IF(OR(E21=2,E21=3,E21=4),VLOOKUP(G21,Szakmaszorzók!$B$2:$D$25,2,0),VLOOKUP(G21,Szakmaszorzók!$B$2:$D$25,3,0)))</f>
        <v>2.2000000000000002</v>
      </c>
      <c r="K21" s="173">
        <f>'Támogatás szorzat tényezői'!$C$2*'Támogatás szorzat tényezői'!$C$5*J21*(H21/1000)</f>
        <v>696960.00000000012</v>
      </c>
      <c r="L21" s="203" t="s">
        <v>2333</v>
      </c>
      <c r="M21" s="6">
        <f t="shared" si="3"/>
        <v>8</v>
      </c>
    </row>
    <row r="22" spans="1:13" ht="15.75" x14ac:dyDescent="0.25">
      <c r="A22" s="207">
        <v>125</v>
      </c>
      <c r="B22" s="6" t="s">
        <v>2682</v>
      </c>
      <c r="C22" s="204" t="s">
        <v>1436</v>
      </c>
      <c r="D22" s="208" t="str">
        <f t="shared" si="0"/>
        <v>0811</v>
      </c>
      <c r="E22" s="208" t="str">
        <f t="shared" si="1"/>
        <v>5</v>
      </c>
      <c r="F22" s="209" t="str">
        <f t="shared" si="2"/>
        <v>001</v>
      </c>
      <c r="G22" s="6" t="s">
        <v>1316</v>
      </c>
      <c r="H22" s="6">
        <v>640</v>
      </c>
      <c r="I22" s="6">
        <v>960</v>
      </c>
      <c r="J22" s="6">
        <f>IF(OR(G22="ágazaton kívüli",G22="n.a."),2.2,IF(OR(E22=2,E22=3,E22=4),VLOOKUP(G22,Szakmaszorzók!$B$2:$D$25,2,0),VLOOKUP(G22,Szakmaszorzók!$B$2:$D$25,3,0)))</f>
        <v>2.85</v>
      </c>
      <c r="K22" s="173">
        <f>'Támogatás szorzat tényezői'!$C$2*'Támogatás szorzat tényezői'!$C$5*J22*(H22/1000)</f>
        <v>656640</v>
      </c>
      <c r="L22" s="203" t="s">
        <v>2160</v>
      </c>
      <c r="M22" s="6">
        <f t="shared" si="3"/>
        <v>8</v>
      </c>
    </row>
    <row r="23" spans="1:13" ht="15.75" x14ac:dyDescent="0.25">
      <c r="A23" s="207">
        <v>50</v>
      </c>
      <c r="B23" s="6" t="s">
        <v>2623</v>
      </c>
      <c r="C23" s="204" t="s">
        <v>2781</v>
      </c>
      <c r="D23" s="204" t="str">
        <f t="shared" si="0"/>
        <v>0913</v>
      </c>
      <c r="E23" s="204" t="str">
        <f t="shared" si="1"/>
        <v>3</v>
      </c>
      <c r="F23" s="205" t="str">
        <f t="shared" si="2"/>
        <v>001</v>
      </c>
      <c r="G23" s="6" t="s">
        <v>1285</v>
      </c>
      <c r="H23" s="6">
        <v>300</v>
      </c>
      <c r="I23" s="6">
        <v>330</v>
      </c>
      <c r="J23" s="6">
        <f>IF(OR(G23="ágazaton kívüli",G23="n.a."),2.2,IF(OR(E23=2,E23=3,E23=4),VLOOKUP(G23,Szakmaszorzók!$B$2:$D$25,2,0),VLOOKUP(G23,Szakmaszorzók!$B$2:$D$25,3,0)))</f>
        <v>2.2000000000000002</v>
      </c>
      <c r="K23" s="173">
        <f>'Támogatás szorzat tényezői'!$C$2*'Támogatás szorzat tényezői'!$C$5*J23*(H23/1000)</f>
        <v>237600.00000000003</v>
      </c>
      <c r="L23" s="203" t="s">
        <v>2085</v>
      </c>
      <c r="M23" s="6">
        <f t="shared" si="3"/>
        <v>8</v>
      </c>
    </row>
    <row r="24" spans="1:13" ht="15.75" x14ac:dyDescent="0.25">
      <c r="A24" s="207">
        <v>124</v>
      </c>
      <c r="B24" s="6" t="s">
        <v>2681</v>
      </c>
      <c r="C24" s="204" t="s">
        <v>1692</v>
      </c>
      <c r="D24" s="208" t="str">
        <f t="shared" si="0"/>
        <v>0810</v>
      </c>
      <c r="E24" s="208" t="str">
        <f t="shared" si="1"/>
        <v>4</v>
      </c>
      <c r="F24" s="209" t="str">
        <f t="shared" si="2"/>
        <v>001</v>
      </c>
      <c r="G24" s="6" t="s">
        <v>1316</v>
      </c>
      <c r="H24" s="6">
        <v>320</v>
      </c>
      <c r="I24" s="6">
        <v>480</v>
      </c>
      <c r="J24" s="6">
        <f>IF(OR(G24="ágazaton kívüli",G24="n.a."),2.2,IF(OR(E24=2,E24=3,E24=4),VLOOKUP(G24,Szakmaszorzók!$B$2:$D$25,2,0),VLOOKUP(G24,Szakmaszorzók!$B$2:$D$25,3,0)))</f>
        <v>2.85</v>
      </c>
      <c r="K24" s="173">
        <f>'Támogatás szorzat tényezői'!$C$2*'Támogatás szorzat tényezői'!$C$5*J24*(H24/1000)</f>
        <v>328320</v>
      </c>
      <c r="L24" s="203" t="s">
        <v>2159</v>
      </c>
      <c r="M24" s="6">
        <f t="shared" si="3"/>
        <v>8</v>
      </c>
    </row>
    <row r="25" spans="1:13" ht="15.75" x14ac:dyDescent="0.25">
      <c r="A25" s="207">
        <v>316</v>
      </c>
      <c r="B25" s="6" t="s">
        <v>2743</v>
      </c>
      <c r="C25" s="204" t="s">
        <v>2803</v>
      </c>
      <c r="D25" s="204" t="str">
        <f t="shared" si="0"/>
        <v>0412</v>
      </c>
      <c r="E25" s="204" t="str">
        <f t="shared" si="1"/>
        <v>4</v>
      </c>
      <c r="F25" s="205" t="str">
        <f t="shared" si="2"/>
        <v>002</v>
      </c>
      <c r="G25" s="6" t="s">
        <v>1389</v>
      </c>
      <c r="H25" s="6">
        <v>220</v>
      </c>
      <c r="I25" s="6">
        <v>340</v>
      </c>
      <c r="J25" s="6">
        <f>IF(OR(G25="ágazaton kívüli",G25="n.a."),2.2,IF(OR(E25=2,E25=3,E25=4),VLOOKUP(G25,Szakmaszorzók!$B$2:$D$25,2,0),VLOOKUP(G25,Szakmaszorzók!$B$2:$D$25,3,0)))</f>
        <v>2.2000000000000002</v>
      </c>
      <c r="K25" s="173">
        <f>'Támogatás szorzat tényezői'!$C$2*'Támogatás szorzat tényezői'!$C$5*J25*(H25/1000)</f>
        <v>174240.00000000003</v>
      </c>
      <c r="L25" s="203" t="s">
        <v>2351</v>
      </c>
      <c r="M25" s="6">
        <f t="shared" si="3"/>
        <v>8</v>
      </c>
    </row>
    <row r="26" spans="1:13" ht="15.75" x14ac:dyDescent="0.25">
      <c r="A26" s="207">
        <v>55</v>
      </c>
      <c r="B26" s="6" t="s">
        <v>2628</v>
      </c>
      <c r="C26" s="204" t="s">
        <v>2783</v>
      </c>
      <c r="D26" s="204" t="str">
        <f t="shared" si="0"/>
        <v>0914</v>
      </c>
      <c r="E26" s="204" t="str">
        <f t="shared" si="1"/>
        <v>4</v>
      </c>
      <c r="F26" s="205" t="str">
        <f t="shared" si="2"/>
        <v>001</v>
      </c>
      <c r="G26" s="6" t="s">
        <v>1285</v>
      </c>
      <c r="H26" s="6">
        <v>600</v>
      </c>
      <c r="I26" s="6">
        <v>660</v>
      </c>
      <c r="J26" s="6">
        <f>IF(OR(G26="ágazaton kívüli",G26="n.a."),2.2,IF(OR(E26=2,E26=3,E26=4),VLOOKUP(G26,Szakmaszorzók!$B$2:$D$25,2,0),VLOOKUP(G26,Szakmaszorzók!$B$2:$D$25,3,0)))</f>
        <v>2.2000000000000002</v>
      </c>
      <c r="K26" s="173">
        <f>'Támogatás szorzat tényezői'!$C$2*'Támogatás szorzat tényezői'!$C$5*J26*(H26/1000)</f>
        <v>475200.00000000006</v>
      </c>
      <c r="L26" s="203" t="s">
        <v>2090</v>
      </c>
      <c r="M26" s="6">
        <f t="shared" si="3"/>
        <v>8</v>
      </c>
    </row>
    <row r="27" spans="1:13" ht="15.75" x14ac:dyDescent="0.25">
      <c r="A27" s="207">
        <v>299</v>
      </c>
      <c r="B27" s="6" t="s">
        <v>2509</v>
      </c>
      <c r="C27" s="204" t="s">
        <v>1437</v>
      </c>
      <c r="D27" s="204" t="str">
        <f t="shared" si="0"/>
        <v>0416</v>
      </c>
      <c r="E27" s="204" t="str">
        <f t="shared" si="1"/>
        <v>4</v>
      </c>
      <c r="F27" s="205" t="str">
        <f t="shared" si="2"/>
        <v>013</v>
      </c>
      <c r="G27" s="6" t="s">
        <v>1351</v>
      </c>
      <c r="H27" s="6">
        <v>200</v>
      </c>
      <c r="I27" s="6">
        <v>300</v>
      </c>
      <c r="J27" s="6">
        <f>IF(OR(G27="ágazaton kívüli",G27="n.a."),2.2,IF(OR(E27=2,E27=3,E27=4),VLOOKUP(G27,Szakmaszorzók!$B$2:$D$25,2,0),VLOOKUP(G27,Szakmaszorzók!$B$2:$D$25,3,0)))</f>
        <v>2.2000000000000002</v>
      </c>
      <c r="K27" s="173">
        <f>'Támogatás szorzat tényezői'!$C$2*'Támogatás szorzat tényezői'!$C$5*J27*(H27/1000)</f>
        <v>158400.00000000003</v>
      </c>
      <c r="L27" s="203" t="s">
        <v>2334</v>
      </c>
      <c r="M27" s="6">
        <f t="shared" si="3"/>
        <v>8</v>
      </c>
    </row>
    <row r="28" spans="1:13" ht="15.75" x14ac:dyDescent="0.25">
      <c r="A28" s="207">
        <v>300</v>
      </c>
      <c r="B28" s="6" t="s">
        <v>2510</v>
      </c>
      <c r="C28" s="204" t="s">
        <v>1438</v>
      </c>
      <c r="D28" s="204" t="str">
        <f t="shared" si="0"/>
        <v>0416</v>
      </c>
      <c r="E28" s="204" t="str">
        <f t="shared" si="1"/>
        <v>3</v>
      </c>
      <c r="F28" s="205" t="str">
        <f t="shared" si="2"/>
        <v>010</v>
      </c>
      <c r="G28" s="6" t="s">
        <v>1351</v>
      </c>
      <c r="H28" s="6">
        <v>100</v>
      </c>
      <c r="I28" s="6">
        <v>150</v>
      </c>
      <c r="J28" s="6">
        <f>IF(OR(G28="ágazaton kívüli",G28="n.a."),2.2,IF(OR(E28=2,E28=3,E28=4),VLOOKUP(G28,Szakmaszorzók!$B$2:$D$25,2,0),VLOOKUP(G28,Szakmaszorzók!$B$2:$D$25,3,0)))</f>
        <v>2.2000000000000002</v>
      </c>
      <c r="K28" s="173">
        <f>'Támogatás szorzat tényezői'!$C$2*'Támogatás szorzat tényezői'!$C$5*J28*(H28/1000)</f>
        <v>79200.000000000015</v>
      </c>
      <c r="L28" s="203" t="s">
        <v>2335</v>
      </c>
      <c r="M28" s="6">
        <f t="shared" si="3"/>
        <v>8</v>
      </c>
    </row>
    <row r="29" spans="1:13" ht="15.75" x14ac:dyDescent="0.25">
      <c r="A29" s="207">
        <v>77</v>
      </c>
      <c r="B29" s="6" t="s">
        <v>2649</v>
      </c>
      <c r="C29" s="204" t="s">
        <v>1439</v>
      </c>
      <c r="D29" s="204" t="str">
        <f t="shared" si="0"/>
        <v>0722</v>
      </c>
      <c r="E29" s="204" t="str">
        <f t="shared" si="1"/>
        <v>5</v>
      </c>
      <c r="F29" s="205" t="str">
        <f t="shared" si="2"/>
        <v>007</v>
      </c>
      <c r="G29" s="6" t="s">
        <v>1289</v>
      </c>
      <c r="H29" s="6">
        <v>1010</v>
      </c>
      <c r="I29" s="6">
        <v>1200</v>
      </c>
      <c r="J29" s="6">
        <f>IF(OR(G29="ágazaton kívüli",G29="n.a."),2.2,IF(OR(E29=2,E29=3,E29=4),VLOOKUP(G29,Szakmaszorzók!$B$2:$D$25,2,0),VLOOKUP(G29,Szakmaszorzók!$B$2:$D$25,3,0)))</f>
        <v>2.42</v>
      </c>
      <c r="K29" s="173">
        <f>'Támogatás szorzat tényezői'!$C$2*'Támogatás szorzat tényezői'!$C$5*J29*(H29/1000)</f>
        <v>879912</v>
      </c>
      <c r="L29" s="203" t="s">
        <v>2112</v>
      </c>
      <c r="M29" s="6">
        <f t="shared" si="3"/>
        <v>8</v>
      </c>
    </row>
    <row r="30" spans="1:13" ht="15.75" x14ac:dyDescent="0.25">
      <c r="A30" s="207">
        <v>342</v>
      </c>
      <c r="B30" s="6" t="s">
        <v>2520</v>
      </c>
      <c r="C30" s="204">
        <v>10325016</v>
      </c>
      <c r="D30" s="204" t="str">
        <f t="shared" si="0"/>
        <v>1032</v>
      </c>
      <c r="E30" s="204" t="str">
        <f t="shared" si="1"/>
        <v>5</v>
      </c>
      <c r="F30" s="205" t="str">
        <f t="shared" si="2"/>
        <v>016</v>
      </c>
      <c r="G30" s="6" t="s">
        <v>1373</v>
      </c>
      <c r="H30" s="6">
        <v>120</v>
      </c>
      <c r="I30" s="6">
        <v>160</v>
      </c>
      <c r="J30" s="6">
        <f>IF(OR(G30="ágazaton kívüli",G30="n.a."),2.2,IF(OR(E30=2,E30=3,E30=4),VLOOKUP(G30,Szakmaszorzók!$B$2:$D$25,2,0),VLOOKUP(G30,Szakmaszorzók!$B$2:$D$25,3,0)))</f>
        <v>2.2000000000000002</v>
      </c>
      <c r="K30" s="173">
        <f>'Támogatás szorzat tényezői'!$C$2*'Támogatás szorzat tényezői'!$C$5*J30*(H30/1000)</f>
        <v>95040.000000000015</v>
      </c>
      <c r="L30" s="203" t="s">
        <v>2377</v>
      </c>
      <c r="M30" s="6">
        <f t="shared" si="3"/>
        <v>8</v>
      </c>
    </row>
    <row r="31" spans="1:13" ht="15.75" x14ac:dyDescent="0.25">
      <c r="A31" s="207">
        <v>343</v>
      </c>
      <c r="B31" s="6" t="s">
        <v>2571</v>
      </c>
      <c r="C31" s="204">
        <v>10323011</v>
      </c>
      <c r="D31" s="204" t="str">
        <f t="shared" si="0"/>
        <v>1032</v>
      </c>
      <c r="E31" s="204" t="str">
        <f t="shared" si="1"/>
        <v>3</v>
      </c>
      <c r="F31" s="205" t="str">
        <f t="shared" si="2"/>
        <v>011</v>
      </c>
      <c r="G31" s="6" t="s">
        <v>1373</v>
      </c>
      <c r="H31" s="6">
        <v>310</v>
      </c>
      <c r="I31" s="6">
        <v>455</v>
      </c>
      <c r="J31" s="6">
        <f>IF(OR(G31="ágazaton kívüli",G31="n.a."),2.2,IF(OR(E31=2,E31=3,E31=4),VLOOKUP(G31,Szakmaszorzók!$B$2:$D$25,2,0),VLOOKUP(G31,Szakmaszorzók!$B$2:$D$25,3,0)))</f>
        <v>2.2000000000000002</v>
      </c>
      <c r="K31" s="173">
        <f>'Támogatás szorzat tényezői'!$C$2*'Támogatás szorzat tényezői'!$C$5*J31*(H31/1000)</f>
        <v>245520.00000000003</v>
      </c>
      <c r="L31" s="203" t="s">
        <v>2378</v>
      </c>
      <c r="M31" s="6">
        <f t="shared" si="3"/>
        <v>8</v>
      </c>
    </row>
    <row r="32" spans="1:13" ht="15.75" x14ac:dyDescent="0.25">
      <c r="A32" s="207">
        <v>344</v>
      </c>
      <c r="B32" s="6" t="s">
        <v>2521</v>
      </c>
      <c r="C32" s="204">
        <v>10325001</v>
      </c>
      <c r="D32" s="204" t="str">
        <f t="shared" si="0"/>
        <v>1032</v>
      </c>
      <c r="E32" s="204" t="str">
        <f t="shared" si="1"/>
        <v>5</v>
      </c>
      <c r="F32" s="205" t="str">
        <f t="shared" si="2"/>
        <v>001</v>
      </c>
      <c r="G32" s="6" t="s">
        <v>1373</v>
      </c>
      <c r="H32" s="6">
        <v>120</v>
      </c>
      <c r="I32" s="6">
        <v>160</v>
      </c>
      <c r="J32" s="6">
        <f>IF(OR(G32="ágazaton kívüli",G32="n.a."),2.2,IF(OR(E32=2,E32=3,E32=4),VLOOKUP(G32,Szakmaszorzók!$B$2:$D$25,2,0),VLOOKUP(G32,Szakmaszorzók!$B$2:$D$25,3,0)))</f>
        <v>2.2000000000000002</v>
      </c>
      <c r="K32" s="173">
        <f>'Támogatás szorzat tényezői'!$C$2*'Támogatás szorzat tényezői'!$C$5*J32*(H32/1000)</f>
        <v>95040.000000000015</v>
      </c>
      <c r="L32" s="203" t="s">
        <v>2379</v>
      </c>
      <c r="M32" s="6">
        <f t="shared" si="3"/>
        <v>8</v>
      </c>
    </row>
    <row r="33" spans="1:13" ht="15.75" x14ac:dyDescent="0.25">
      <c r="A33" s="207">
        <v>345</v>
      </c>
      <c r="B33" s="6" t="s">
        <v>2522</v>
      </c>
      <c r="C33" s="204">
        <v>10325015</v>
      </c>
      <c r="D33" s="204" t="str">
        <f t="shared" si="0"/>
        <v>1032</v>
      </c>
      <c r="E33" s="204" t="str">
        <f t="shared" si="1"/>
        <v>5</v>
      </c>
      <c r="F33" s="205" t="str">
        <f t="shared" si="2"/>
        <v>015</v>
      </c>
      <c r="G33" s="6" t="s">
        <v>1373</v>
      </c>
      <c r="H33" s="6">
        <v>120</v>
      </c>
      <c r="I33" s="6">
        <v>160</v>
      </c>
      <c r="J33" s="6">
        <f>IF(OR(G33="ágazaton kívüli",G33="n.a."),2.2,IF(OR(E33=2,E33=3,E33=4),VLOOKUP(G33,Szakmaszorzók!$B$2:$D$25,2,0),VLOOKUP(G33,Szakmaszorzók!$B$2:$D$25,3,0)))</f>
        <v>2.2000000000000002</v>
      </c>
      <c r="K33" s="173">
        <f>'Támogatás szorzat tényezői'!$C$2*'Támogatás szorzat tényezői'!$C$5*J33*(H33/1000)</f>
        <v>95040.000000000015</v>
      </c>
      <c r="L33" s="203" t="s">
        <v>2380</v>
      </c>
      <c r="M33" s="6">
        <f t="shared" si="3"/>
        <v>8</v>
      </c>
    </row>
    <row r="34" spans="1:13" ht="15.75" x14ac:dyDescent="0.25">
      <c r="A34" s="207">
        <v>346</v>
      </c>
      <c r="B34" s="6" t="s">
        <v>2523</v>
      </c>
      <c r="C34" s="204">
        <v>10325014</v>
      </c>
      <c r="D34" s="204" t="str">
        <f t="shared" ref="D34:D51" si="4">LEFT(C34,4)</f>
        <v>1032</v>
      </c>
      <c r="E34" s="204" t="str">
        <f t="shared" ref="E34:E51" si="5">LEFT(RIGHT(C34,4),1)</f>
        <v>5</v>
      </c>
      <c r="F34" s="205" t="str">
        <f t="shared" ref="F34:F51" si="6">RIGHT(C34,3)</f>
        <v>014</v>
      </c>
      <c r="G34" s="6" t="s">
        <v>1373</v>
      </c>
      <c r="H34" s="6">
        <v>120</v>
      </c>
      <c r="I34" s="6">
        <v>160</v>
      </c>
      <c r="J34" s="6">
        <f>IF(OR(G34="ágazaton kívüli",G34="n.a."),2.2,IF(OR(E34=2,E34=3,E34=4),VLOOKUP(G34,Szakmaszorzók!$B$2:$D$25,2,0),VLOOKUP(G34,Szakmaszorzók!$B$2:$D$25,3,0)))</f>
        <v>2.2000000000000002</v>
      </c>
      <c r="K34" s="173">
        <f>'Támogatás szorzat tényezői'!$C$2*'Támogatás szorzat tényezői'!$C$5*J34*(H34/1000)</f>
        <v>95040.000000000015</v>
      </c>
      <c r="L34" s="203" t="s">
        <v>2381</v>
      </c>
      <c r="M34" s="6">
        <f t="shared" si="3"/>
        <v>8</v>
      </c>
    </row>
    <row r="35" spans="1:13" ht="15.75" x14ac:dyDescent="0.25">
      <c r="A35" s="207">
        <v>347</v>
      </c>
      <c r="B35" s="6" t="s">
        <v>2572</v>
      </c>
      <c r="C35" s="204">
        <v>10326012</v>
      </c>
      <c r="D35" s="204" t="str">
        <f t="shared" si="4"/>
        <v>1032</v>
      </c>
      <c r="E35" s="204" t="str">
        <f t="shared" si="5"/>
        <v>6</v>
      </c>
      <c r="F35" s="205" t="str">
        <f t="shared" si="6"/>
        <v>012</v>
      </c>
      <c r="G35" s="6" t="s">
        <v>1373</v>
      </c>
      <c r="H35" s="6">
        <v>390</v>
      </c>
      <c r="I35" s="6">
        <v>520</v>
      </c>
      <c r="J35" s="6">
        <f>IF(OR(G35="ágazaton kívüli",G35="n.a."),2.2,IF(OR(E35=2,E35=3,E35=4),VLOOKUP(G35,Szakmaszorzók!$B$2:$D$25,2,0),VLOOKUP(G35,Szakmaszorzók!$B$2:$D$25,3,0)))</f>
        <v>2.2000000000000002</v>
      </c>
      <c r="K35" s="173">
        <f>'Támogatás szorzat tényezői'!$C$2*'Támogatás szorzat tényezői'!$C$5*J35*(H35/1000)</f>
        <v>308880.00000000006</v>
      </c>
      <c r="L35" s="203" t="s">
        <v>2382</v>
      </c>
      <c r="M35" s="6">
        <f t="shared" si="3"/>
        <v>8</v>
      </c>
    </row>
    <row r="36" spans="1:13" ht="15.75" x14ac:dyDescent="0.25">
      <c r="A36" s="207">
        <v>92</v>
      </c>
      <c r="B36" s="6" t="s">
        <v>2663</v>
      </c>
      <c r="C36" s="204" t="s">
        <v>1440</v>
      </c>
      <c r="D36" s="204" t="str">
        <f t="shared" si="4"/>
        <v>0723</v>
      </c>
      <c r="E36" s="204" t="str">
        <f t="shared" si="5"/>
        <v>3</v>
      </c>
      <c r="F36" s="205" t="str">
        <f t="shared" si="6"/>
        <v>001</v>
      </c>
      <c r="G36" s="6" t="s">
        <v>1298</v>
      </c>
      <c r="H36" s="6">
        <v>600</v>
      </c>
      <c r="I36" s="6">
        <v>800</v>
      </c>
      <c r="J36" s="6">
        <f>IF(OR(G36="ágazaton kívüli",G36="n.a."),2.2,IF(OR(E36=2,E36=3,E36=4),VLOOKUP(G36,Szakmaszorzók!$B$2:$D$25,2,0),VLOOKUP(G36,Szakmaszorzók!$B$2:$D$25,3,0)))</f>
        <v>2.42</v>
      </c>
      <c r="K36" s="173">
        <f>'Támogatás szorzat tényezői'!$C$2*'Támogatás szorzat tényezői'!$C$5*J36*(H36/1000)</f>
        <v>522720</v>
      </c>
      <c r="L36" s="203" t="s">
        <v>2127</v>
      </c>
      <c r="M36" s="6">
        <f t="shared" si="3"/>
        <v>8</v>
      </c>
    </row>
    <row r="37" spans="1:13" ht="15.75" x14ac:dyDescent="0.25">
      <c r="A37" s="207">
        <v>35</v>
      </c>
      <c r="B37" s="6" t="s">
        <v>2608</v>
      </c>
      <c r="C37" s="204" t="s">
        <v>2779</v>
      </c>
      <c r="D37" s="204" t="str">
        <f t="shared" si="4"/>
        <v>0715</v>
      </c>
      <c r="E37" s="204" t="str">
        <f t="shared" si="5"/>
        <v>3</v>
      </c>
      <c r="F37" s="205" t="str">
        <f t="shared" si="6"/>
        <v>010</v>
      </c>
      <c r="G37" s="6" t="s">
        <v>1301</v>
      </c>
      <c r="H37" s="6">
        <v>450</v>
      </c>
      <c r="I37" s="6">
        <v>600</v>
      </c>
      <c r="J37" s="6">
        <f>IF(OR(G37="ágazaton kívüli",G37="n.a."),2.2,IF(OR(E37=2,E37=3,E37=4),VLOOKUP(G37,Szakmaszorzók!$B$2:$D$25,2,0),VLOOKUP(G37,Szakmaszorzók!$B$2:$D$25,3,0)))</f>
        <v>2.85</v>
      </c>
      <c r="K37" s="173">
        <f>'Támogatás szorzat tényezői'!$C$2*'Támogatás szorzat tényezői'!$C$5*J37*(H37/1000)</f>
        <v>461700</v>
      </c>
      <c r="L37" s="203" t="s">
        <v>2070</v>
      </c>
      <c r="M37" s="6">
        <f t="shared" si="3"/>
        <v>8</v>
      </c>
    </row>
    <row r="38" spans="1:13" ht="15.75" x14ac:dyDescent="0.25">
      <c r="A38" s="207">
        <v>281</v>
      </c>
      <c r="B38" s="6" t="s">
        <v>2726</v>
      </c>
      <c r="C38" s="204" t="s">
        <v>1707</v>
      </c>
      <c r="D38" s="204" t="str">
        <f t="shared" si="4"/>
        <v>0888</v>
      </c>
      <c r="E38" s="204" t="str">
        <f t="shared" si="5"/>
        <v>3</v>
      </c>
      <c r="F38" s="205" t="str">
        <f t="shared" si="6"/>
        <v>001</v>
      </c>
      <c r="G38" s="6" t="s">
        <v>1316</v>
      </c>
      <c r="H38" s="6">
        <v>320</v>
      </c>
      <c r="I38" s="6">
        <v>550</v>
      </c>
      <c r="J38" s="6">
        <f>IF(OR(G38="ágazaton kívüli",G38="n.a."),2.2,IF(OR(E38=2,E38=3,E38=4),VLOOKUP(G38,Szakmaszorzók!$B$2:$D$25,2,0),VLOOKUP(G38,Szakmaszorzók!$B$2:$D$25,3,0)))</f>
        <v>2.85</v>
      </c>
      <c r="K38" s="173">
        <f>'Támogatás szorzat tényezői'!$C$2*'Támogatás szorzat tényezői'!$C$5*J38*(H38/1000)</f>
        <v>328320</v>
      </c>
      <c r="L38" s="203" t="s">
        <v>2316</v>
      </c>
      <c r="M38" s="6">
        <f t="shared" si="3"/>
        <v>8</v>
      </c>
    </row>
    <row r="39" spans="1:13" ht="15.75" x14ac:dyDescent="0.25">
      <c r="A39" s="207">
        <v>93</v>
      </c>
      <c r="B39" s="6" t="s">
        <v>2664</v>
      </c>
      <c r="C39" s="204" t="s">
        <v>1441</v>
      </c>
      <c r="D39" s="204" t="str">
        <f t="shared" si="4"/>
        <v>0723</v>
      </c>
      <c r="E39" s="204" t="str">
        <f t="shared" si="5"/>
        <v>4</v>
      </c>
      <c r="F39" s="205" t="str">
        <f t="shared" si="6"/>
        <v>002</v>
      </c>
      <c r="G39" s="6" t="s">
        <v>1298</v>
      </c>
      <c r="H39" s="6">
        <v>800</v>
      </c>
      <c r="I39" s="6">
        <v>1200</v>
      </c>
      <c r="J39" s="6">
        <f>IF(OR(G39="ágazaton kívüli",G39="n.a."),2.2,IF(OR(E39=2,E39=3,E39=4),VLOOKUP(G39,Szakmaszorzók!$B$2:$D$25,2,0),VLOOKUP(G39,Szakmaszorzók!$B$2:$D$25,3,0)))</f>
        <v>2.42</v>
      </c>
      <c r="K39" s="173">
        <f>'Támogatás szorzat tényezői'!$C$2*'Támogatás szorzat tényezői'!$C$5*J39*(H39/1000)</f>
        <v>696960</v>
      </c>
      <c r="L39" s="203" t="s">
        <v>2128</v>
      </c>
      <c r="M39" s="6">
        <f t="shared" si="3"/>
        <v>8</v>
      </c>
    </row>
    <row r="40" spans="1:13" ht="15.75" x14ac:dyDescent="0.25">
      <c r="A40" s="207">
        <v>271</v>
      </c>
      <c r="B40" s="6" t="s">
        <v>2716</v>
      </c>
      <c r="C40" s="204">
        <v>10144003</v>
      </c>
      <c r="D40" s="204" t="str">
        <f t="shared" si="4"/>
        <v>1014</v>
      </c>
      <c r="E40" s="204" t="str">
        <f t="shared" si="5"/>
        <v>4</v>
      </c>
      <c r="F40" s="205" t="str">
        <f t="shared" si="6"/>
        <v>003</v>
      </c>
      <c r="G40" s="6" t="s">
        <v>1325</v>
      </c>
      <c r="H40" s="6">
        <v>200</v>
      </c>
      <c r="I40" s="6">
        <v>250</v>
      </c>
      <c r="J40" s="6">
        <f>IF(OR(G40="ágazaton kívüli",G40="n.a."),2.2,IF(OR(E40=2,E40=3,E40=4),VLOOKUP(G40,Szakmaszorzók!$B$2:$D$25,2,0),VLOOKUP(G40,Szakmaszorzók!$B$2:$D$25,3,0)))</f>
        <v>2.2000000000000002</v>
      </c>
      <c r="K40" s="173">
        <f>'Támogatás szorzat tényezői'!$C$2*'Támogatás szorzat tényezői'!$C$5*J40*(H40/1000)</f>
        <v>158400.00000000003</v>
      </c>
      <c r="L40" s="203" t="s">
        <v>2306</v>
      </c>
      <c r="M40" s="6">
        <f t="shared" si="3"/>
        <v>8</v>
      </c>
    </row>
    <row r="41" spans="1:13" ht="15.75" x14ac:dyDescent="0.25">
      <c r="A41" s="207">
        <v>279</v>
      </c>
      <c r="B41" s="6" t="s">
        <v>2724</v>
      </c>
      <c r="C41" s="204" t="s">
        <v>1442</v>
      </c>
      <c r="D41" s="204" t="str">
        <f t="shared" si="4"/>
        <v>0921</v>
      </c>
      <c r="E41" s="204" t="str">
        <f t="shared" si="5"/>
        <v>4</v>
      </c>
      <c r="F41" s="205" t="str">
        <f t="shared" si="6"/>
        <v>001</v>
      </c>
      <c r="G41" s="6" t="s">
        <v>1338</v>
      </c>
      <c r="H41" s="6">
        <v>600</v>
      </c>
      <c r="I41" s="6">
        <v>720</v>
      </c>
      <c r="J41" s="6">
        <f>IF(OR(G41="ágazaton kívüli",G41="n.a."),2.2,IF(OR(E41=2,E41=3,E41=4),VLOOKUP(G41,Szakmaszorzók!$B$2:$D$25,2,0),VLOOKUP(G41,Szakmaszorzók!$B$2:$D$25,3,0)))</f>
        <v>2.2000000000000002</v>
      </c>
      <c r="K41" s="173">
        <f>'Támogatás szorzat tényezői'!$C$2*'Támogatás szorzat tényezői'!$C$5*J41*(H41/1000)</f>
        <v>475200.00000000006</v>
      </c>
      <c r="L41" s="203" t="s">
        <v>2314</v>
      </c>
      <c r="M41" s="6">
        <f t="shared" si="3"/>
        <v>8</v>
      </c>
    </row>
    <row r="42" spans="1:13" ht="15.75" x14ac:dyDescent="0.25">
      <c r="A42" s="207">
        <v>52</v>
      </c>
      <c r="B42" s="6" t="s">
        <v>2625</v>
      </c>
      <c r="C42" s="204" t="s">
        <v>1443</v>
      </c>
      <c r="D42" s="204" t="str">
        <f t="shared" si="4"/>
        <v>0911</v>
      </c>
      <c r="E42" s="204" t="str">
        <f t="shared" si="5"/>
        <v>5</v>
      </c>
      <c r="F42" s="205" t="str">
        <f t="shared" si="6"/>
        <v>003</v>
      </c>
      <c r="G42" s="6" t="s">
        <v>1328</v>
      </c>
      <c r="H42" s="6">
        <v>160</v>
      </c>
      <c r="I42" s="6">
        <v>172</v>
      </c>
      <c r="J42" s="6">
        <f>IF(OR(G42="ágazaton kívüli",G42="n.a."),2.2,IF(OR(E42=2,E42=3,E42=4),VLOOKUP(G42,Szakmaszorzók!$B$2:$D$25,2,0),VLOOKUP(G42,Szakmaszorzók!$B$2:$D$25,3,0)))</f>
        <v>2.85</v>
      </c>
      <c r="K42" s="173">
        <f>'Támogatás szorzat tényezői'!$C$2*'Támogatás szorzat tényezői'!$C$5*J42*(H42/1000)</f>
        <v>164160</v>
      </c>
      <c r="L42" s="203" t="s">
        <v>2087</v>
      </c>
      <c r="M42" s="6">
        <f t="shared" si="3"/>
        <v>8</v>
      </c>
    </row>
    <row r="43" spans="1:13" ht="15.75" x14ac:dyDescent="0.25">
      <c r="A43" s="207">
        <v>78</v>
      </c>
      <c r="B43" s="6" t="s">
        <v>1444</v>
      </c>
      <c r="C43" s="204" t="s">
        <v>1445</v>
      </c>
      <c r="D43" s="204" t="str">
        <f t="shared" si="4"/>
        <v>0722</v>
      </c>
      <c r="E43" s="204" t="str">
        <f t="shared" si="5"/>
        <v>4</v>
      </c>
      <c r="F43" s="205" t="str">
        <f t="shared" si="6"/>
        <v>003</v>
      </c>
      <c r="G43" s="6" t="s">
        <v>1298</v>
      </c>
      <c r="H43" s="6">
        <v>480</v>
      </c>
      <c r="I43" s="6">
        <v>600</v>
      </c>
      <c r="J43" s="6">
        <f>IF(OR(G43="ágazaton kívüli",G43="n.a."),2.2,IF(OR(E43=2,E43=3,E43=4),VLOOKUP(G43,Szakmaszorzók!$B$2:$D$25,2,0),VLOOKUP(G43,Szakmaszorzók!$B$2:$D$25,3,0)))</f>
        <v>2.42</v>
      </c>
      <c r="K43" s="173">
        <f>'Támogatás szorzat tényezői'!$C$2*'Támogatás szorzat tényezői'!$C$5*J43*(H43/1000)</f>
        <v>418176</v>
      </c>
      <c r="L43" s="203" t="s">
        <v>2113</v>
      </c>
      <c r="M43" s="6">
        <f t="shared" si="3"/>
        <v>8</v>
      </c>
    </row>
    <row r="44" spans="1:13" ht="15.75" x14ac:dyDescent="0.25">
      <c r="A44" s="207">
        <v>59</v>
      </c>
      <c r="B44" s="6" t="s">
        <v>2632</v>
      </c>
      <c r="C44" s="204" t="s">
        <v>1446</v>
      </c>
      <c r="D44" s="204" t="str">
        <f t="shared" si="4"/>
        <v>0732</v>
      </c>
      <c r="E44" s="204" t="str">
        <f t="shared" si="5"/>
        <v>4</v>
      </c>
      <c r="F44" s="205" t="str">
        <f t="shared" si="6"/>
        <v>001</v>
      </c>
      <c r="G44" s="6" t="s">
        <v>1282</v>
      </c>
      <c r="H44" s="6">
        <v>316</v>
      </c>
      <c r="I44" s="6">
        <v>408</v>
      </c>
      <c r="J44" s="6">
        <f>IF(OR(G44="ágazaton kívüli",G44="n.a."),2.2,IF(OR(E44=2,E44=3,E44=4),VLOOKUP(G44,Szakmaszorzók!$B$2:$D$25,2,0),VLOOKUP(G44,Szakmaszorzók!$B$2:$D$25,3,0)))</f>
        <v>2.42</v>
      </c>
      <c r="K44" s="173">
        <f>'Támogatás szorzat tényezői'!$C$2*'Támogatás szorzat tényezői'!$C$5*J44*(H44/1000)</f>
        <v>275299.20000000001</v>
      </c>
      <c r="L44" s="203" t="s">
        <v>2094</v>
      </c>
      <c r="M44" s="6">
        <f t="shared" si="3"/>
        <v>8</v>
      </c>
    </row>
    <row r="45" spans="1:13" ht="15.75" x14ac:dyDescent="0.25">
      <c r="A45" s="207">
        <v>153</v>
      </c>
      <c r="B45" s="6" t="s">
        <v>2700</v>
      </c>
      <c r="C45" s="204" t="s">
        <v>2790</v>
      </c>
      <c r="D45" s="208" t="str">
        <f t="shared" si="4"/>
        <v>0214</v>
      </c>
      <c r="E45" s="208" t="str">
        <f t="shared" si="5"/>
        <v>4</v>
      </c>
      <c r="F45" s="209" t="str">
        <f t="shared" si="6"/>
        <v>023</v>
      </c>
      <c r="G45" s="210" t="s">
        <v>1883</v>
      </c>
      <c r="H45" s="6">
        <v>900</v>
      </c>
      <c r="I45" s="6">
        <v>1200</v>
      </c>
      <c r="J45" s="6">
        <f>IF(OR(G45="ágazaton kívüli",G45="n.a."),2.2,IF(OR(E45=2,E45=3,E45=4),VLOOKUP(G45,Szakmaszorzók!$B$2:$D$25,2,0),VLOOKUP(G45,Szakmaszorzók!$B$2:$D$25,3,0)))</f>
        <v>2.2000000000000002</v>
      </c>
      <c r="K45" s="173">
        <f>'Támogatás szorzat tényezői'!$C$2*'Támogatás szorzat tényezői'!$C$5*J45*(H45/1000)</f>
        <v>712800.00000000012</v>
      </c>
      <c r="L45" s="203" t="s">
        <v>2188</v>
      </c>
      <c r="M45" s="6">
        <f t="shared" si="3"/>
        <v>8</v>
      </c>
    </row>
    <row r="46" spans="1:13" ht="15.75" x14ac:dyDescent="0.25">
      <c r="A46" s="207">
        <v>120</v>
      </c>
      <c r="B46" s="6" t="s">
        <v>2678</v>
      </c>
      <c r="C46" s="204" t="s">
        <v>1697</v>
      </c>
      <c r="D46" s="204" t="str">
        <f t="shared" si="4"/>
        <v>0812</v>
      </c>
      <c r="E46" s="204" t="str">
        <f t="shared" si="5"/>
        <v>5</v>
      </c>
      <c r="F46" s="205" t="str">
        <f t="shared" si="6"/>
        <v>001</v>
      </c>
      <c r="G46" s="6" t="s">
        <v>1316</v>
      </c>
      <c r="H46" s="6">
        <v>800</v>
      </c>
      <c r="I46" s="6">
        <v>1000</v>
      </c>
      <c r="J46" s="6">
        <f>IF(OR(G46="ágazaton kívüli",G46="n.a."),2.2,IF(OR(E46=2,E46=3,E46=4),VLOOKUP(G46,Szakmaszorzók!$B$2:$D$25,2,0),VLOOKUP(G46,Szakmaszorzók!$B$2:$D$25,3,0)))</f>
        <v>2.85</v>
      </c>
      <c r="K46" s="173">
        <f>'Támogatás szorzat tényezői'!$C$2*'Támogatás szorzat tényezői'!$C$5*J46*(H46/1000)</f>
        <v>820800</v>
      </c>
      <c r="L46" s="203" t="s">
        <v>2155</v>
      </c>
      <c r="M46" s="6">
        <f t="shared" si="3"/>
        <v>8</v>
      </c>
    </row>
    <row r="47" spans="1:13" ht="15.75" x14ac:dyDescent="0.25">
      <c r="A47" s="207">
        <v>46</v>
      </c>
      <c r="B47" s="6" t="s">
        <v>2619</v>
      </c>
      <c r="C47" s="204" t="s">
        <v>1447</v>
      </c>
      <c r="D47" s="204" t="str">
        <f t="shared" si="4"/>
        <v>0711</v>
      </c>
      <c r="E47" s="204" t="str">
        <f t="shared" si="5"/>
        <v>5</v>
      </c>
      <c r="F47" s="205" t="str">
        <f t="shared" si="6"/>
        <v>004</v>
      </c>
      <c r="G47" s="6" t="s">
        <v>1280</v>
      </c>
      <c r="H47" s="6">
        <v>480</v>
      </c>
      <c r="I47" s="6">
        <v>720</v>
      </c>
      <c r="J47" s="6">
        <f>IF(OR(G47="ágazaton kívüli",G47="n.a."),2.2,IF(OR(E47=2,E47=3,E47=4),VLOOKUP(G47,Szakmaszorzók!$B$2:$D$25,2,0),VLOOKUP(G47,Szakmaszorzók!$B$2:$D$25,3,0)))</f>
        <v>2.85</v>
      </c>
      <c r="K47" s="173">
        <f>'Támogatás szorzat tényezői'!$C$2*'Támogatás szorzat tényezői'!$C$5*J47*(H47/1000)</f>
        <v>492480</v>
      </c>
      <c r="L47" s="203" t="s">
        <v>2081</v>
      </c>
      <c r="M47" s="6">
        <f t="shared" si="3"/>
        <v>8</v>
      </c>
    </row>
    <row r="48" spans="1:13" ht="15.75" x14ac:dyDescent="0.25">
      <c r="A48" s="207">
        <v>301</v>
      </c>
      <c r="B48" s="6" t="s">
        <v>2511</v>
      </c>
      <c r="C48" s="204" t="s">
        <v>1448</v>
      </c>
      <c r="D48" s="204" t="str">
        <f t="shared" si="4"/>
        <v>0416</v>
      </c>
      <c r="E48" s="204" t="str">
        <f t="shared" si="5"/>
        <v>3</v>
      </c>
      <c r="F48" s="205" t="str">
        <f t="shared" si="6"/>
        <v>016</v>
      </c>
      <c r="G48" s="6" t="s">
        <v>1351</v>
      </c>
      <c r="H48" s="6">
        <v>160</v>
      </c>
      <c r="I48" s="6">
        <v>320</v>
      </c>
      <c r="J48" s="6">
        <f>IF(OR(G48="ágazaton kívüli",G48="n.a."),2.2,IF(OR(E48=2,E48=3,E48=4),VLOOKUP(G48,Szakmaszorzók!$B$2:$D$25,2,0),VLOOKUP(G48,Szakmaszorzók!$B$2:$D$25,3,0)))</f>
        <v>2.2000000000000002</v>
      </c>
      <c r="K48" s="173">
        <f>'Támogatás szorzat tényezői'!$C$2*'Támogatás szorzat tényezői'!$C$5*J48*(H48/1000)</f>
        <v>126720.00000000001</v>
      </c>
      <c r="L48" s="203" t="s">
        <v>2336</v>
      </c>
      <c r="M48" s="6">
        <f t="shared" si="3"/>
        <v>8</v>
      </c>
    </row>
    <row r="49" spans="1:13" ht="15.75" x14ac:dyDescent="0.25">
      <c r="A49" s="207">
        <v>60</v>
      </c>
      <c r="B49" s="6" t="s">
        <v>2633</v>
      </c>
      <c r="C49" s="204" t="s">
        <v>1449</v>
      </c>
      <c r="D49" s="204" t="str">
        <f t="shared" si="4"/>
        <v>0732</v>
      </c>
      <c r="E49" s="204" t="str">
        <f t="shared" si="5"/>
        <v>3</v>
      </c>
      <c r="F49" s="205" t="str">
        <f t="shared" si="6"/>
        <v>004</v>
      </c>
      <c r="G49" s="6" t="s">
        <v>1282</v>
      </c>
      <c r="H49" s="6">
        <v>300</v>
      </c>
      <c r="I49" s="6">
        <v>400</v>
      </c>
      <c r="J49" s="6">
        <f>IF(OR(G49="ágazaton kívüli",G49="n.a."),2.2,IF(OR(E49=2,E49=3,E49=4),VLOOKUP(G49,Szakmaszorzók!$B$2:$D$25,2,0),VLOOKUP(G49,Szakmaszorzók!$B$2:$D$25,3,0)))</f>
        <v>2.42</v>
      </c>
      <c r="K49" s="173">
        <f>'Támogatás szorzat tényezői'!$C$2*'Támogatás szorzat tényezői'!$C$5*J49*(H49/1000)</f>
        <v>261360</v>
      </c>
      <c r="L49" s="203" t="s">
        <v>2095</v>
      </c>
      <c r="M49" s="6">
        <f t="shared" si="3"/>
        <v>8</v>
      </c>
    </row>
    <row r="50" spans="1:13" ht="15.75" x14ac:dyDescent="0.25">
      <c r="A50" s="207">
        <v>118</v>
      </c>
      <c r="B50" s="6" t="s">
        <v>2676</v>
      </c>
      <c r="C50" s="204">
        <v>10213002</v>
      </c>
      <c r="D50" s="204" t="str">
        <f t="shared" si="4"/>
        <v>1021</v>
      </c>
      <c r="E50" s="204" t="str">
        <f t="shared" si="5"/>
        <v>3</v>
      </c>
      <c r="F50" s="205" t="str">
        <f t="shared" si="6"/>
        <v>002</v>
      </c>
      <c r="G50" s="6" t="s">
        <v>1285</v>
      </c>
      <c r="H50" s="6">
        <v>600</v>
      </c>
      <c r="I50" s="6">
        <v>660</v>
      </c>
      <c r="J50" s="6">
        <f>IF(OR(G50="ágazaton kívüli",G50="n.a."),2.2,IF(OR(E50=2,E50=3,E50=4),VLOOKUP(G50,Szakmaszorzók!$B$2:$D$25,2,0),VLOOKUP(G50,Szakmaszorzók!$B$2:$D$25,3,0)))</f>
        <v>2.2000000000000002</v>
      </c>
      <c r="K50" s="173">
        <f>'Támogatás szorzat tényezői'!$C$2*'Támogatás szorzat tényezői'!$C$5*J50*(H50/1000)</f>
        <v>475200.00000000006</v>
      </c>
      <c r="L50" s="203" t="s">
        <v>2153</v>
      </c>
      <c r="M50" s="6">
        <f t="shared" si="3"/>
        <v>8</v>
      </c>
    </row>
    <row r="51" spans="1:13" ht="15.75" x14ac:dyDescent="0.25">
      <c r="A51" s="207">
        <v>187</v>
      </c>
      <c r="B51" s="6" t="s">
        <v>2451</v>
      </c>
      <c r="C51" s="204" t="s">
        <v>1450</v>
      </c>
      <c r="D51" s="208" t="str">
        <f t="shared" si="4"/>
        <v>0215</v>
      </c>
      <c r="E51" s="208" t="str">
        <f t="shared" si="5"/>
        <v>5</v>
      </c>
      <c r="F51" s="209" t="str">
        <f t="shared" si="6"/>
        <v>017</v>
      </c>
      <c r="G51" s="210" t="s">
        <v>1883</v>
      </c>
      <c r="H51" s="6">
        <v>620</v>
      </c>
      <c r="I51" s="6">
        <v>1085</v>
      </c>
      <c r="J51" s="6">
        <f>IF(OR(G51="ágazaton kívüli",G51="n.a."),2.2,IF(OR(E51=2,E51=3,E51=4),VLOOKUP(G51,Szakmaszorzók!$B$2:$D$25,2,0),VLOOKUP(G51,Szakmaszorzók!$B$2:$D$25,3,0)))</f>
        <v>2.2000000000000002</v>
      </c>
      <c r="K51" s="173">
        <f>'Támogatás szorzat tényezői'!$C$2*'Támogatás szorzat tényezői'!$C$5*J51*(H51/1000)</f>
        <v>491040.00000000006</v>
      </c>
      <c r="L51" s="203" t="s">
        <v>2222</v>
      </c>
      <c r="M51" s="6">
        <f t="shared" si="3"/>
        <v>8</v>
      </c>
    </row>
    <row r="52" spans="1:13" ht="15.75" x14ac:dyDescent="0.25">
      <c r="A52" s="207">
        <v>188</v>
      </c>
      <c r="B52" s="6" t="s">
        <v>2452</v>
      </c>
      <c r="C52" s="213" t="s">
        <v>1883</v>
      </c>
      <c r="D52" s="211">
        <v>215</v>
      </c>
      <c r="E52" s="212">
        <v>5</v>
      </c>
      <c r="F52" s="214" t="s">
        <v>1883</v>
      </c>
      <c r="G52" s="210" t="s">
        <v>1883</v>
      </c>
      <c r="H52" s="6">
        <v>620</v>
      </c>
      <c r="I52" s="6">
        <v>1085</v>
      </c>
      <c r="J52" s="6">
        <f>IF(OR(G52="ágazaton kívüli",G52="n.a."),2.2,IF(OR(E52=2,E52=3,E52=4),VLOOKUP(G52,Szakmaszorzók!$B$2:$D$25,2,0),VLOOKUP(G52,Szakmaszorzók!$B$2:$D$25,3,0)))</f>
        <v>2.2000000000000002</v>
      </c>
      <c r="K52" s="173">
        <f>'Támogatás szorzat tényezői'!$C$2*'Támogatás szorzat tényezői'!$C$5*J52*(H52/1000)</f>
        <v>491040.00000000006</v>
      </c>
      <c r="L52" s="203" t="s">
        <v>2223</v>
      </c>
      <c r="M52" s="6">
        <f t="shared" si="3"/>
        <v>4</v>
      </c>
    </row>
    <row r="53" spans="1:13" ht="15.75" x14ac:dyDescent="0.25">
      <c r="A53" s="207">
        <v>189</v>
      </c>
      <c r="B53" s="6" t="s">
        <v>2551</v>
      </c>
      <c r="C53" s="213" t="s">
        <v>1883</v>
      </c>
      <c r="D53" s="211">
        <v>215</v>
      </c>
      <c r="E53" s="212">
        <v>5</v>
      </c>
      <c r="F53" s="214" t="s">
        <v>1883</v>
      </c>
      <c r="G53" s="210" t="s">
        <v>1883</v>
      </c>
      <c r="H53" s="6">
        <v>620</v>
      </c>
      <c r="I53" s="6">
        <v>1085</v>
      </c>
      <c r="J53" s="6">
        <f>IF(OR(G53="ágazaton kívüli",G53="n.a."),2.2,IF(OR(E53=2,E53=3,E53=4),VLOOKUP(G53,Szakmaszorzók!$B$2:$D$25,2,0),VLOOKUP(G53,Szakmaszorzók!$B$2:$D$25,3,0)))</f>
        <v>2.2000000000000002</v>
      </c>
      <c r="K53" s="173">
        <f>'Támogatás szorzat tényezői'!$C$2*'Támogatás szorzat tényezői'!$C$5*J53*(H53/1000)</f>
        <v>491040.00000000006</v>
      </c>
      <c r="L53" s="203" t="s">
        <v>2224</v>
      </c>
      <c r="M53" s="6">
        <f t="shared" si="3"/>
        <v>4</v>
      </c>
    </row>
    <row r="54" spans="1:13" ht="15.75" x14ac:dyDescent="0.25">
      <c r="A54" s="207">
        <v>190</v>
      </c>
      <c r="B54" s="6" t="s">
        <v>2453</v>
      </c>
      <c r="C54" s="204" t="s">
        <v>1451</v>
      </c>
      <c r="D54" s="208" t="str">
        <f t="shared" ref="D54:D117" si="7">LEFT(C54,4)</f>
        <v>0215</v>
      </c>
      <c r="E54" s="208" t="str">
        <f t="shared" ref="E54:E117" si="8">LEFT(RIGHT(C54,4),1)</f>
        <v>5</v>
      </c>
      <c r="F54" s="209" t="str">
        <f t="shared" ref="F54:F117" si="9">RIGHT(C54,3)</f>
        <v>020</v>
      </c>
      <c r="G54" s="210" t="s">
        <v>1883</v>
      </c>
      <c r="H54" s="6">
        <v>620</v>
      </c>
      <c r="I54" s="6">
        <v>1085</v>
      </c>
      <c r="J54" s="6">
        <f>IF(OR(G54="ágazaton kívüli",G54="n.a."),2.2,IF(OR(E54=2,E54=3,E54=4),VLOOKUP(G54,Szakmaszorzók!$B$2:$D$25,2,0),VLOOKUP(G54,Szakmaszorzók!$B$2:$D$25,3,0)))</f>
        <v>2.2000000000000002</v>
      </c>
      <c r="K54" s="173">
        <f>'Támogatás szorzat tényezői'!$C$2*'Támogatás szorzat tényezői'!$C$5*J54*(H54/1000)</f>
        <v>491040.00000000006</v>
      </c>
      <c r="L54" s="203" t="s">
        <v>2225</v>
      </c>
      <c r="M54" s="6">
        <f t="shared" si="3"/>
        <v>8</v>
      </c>
    </row>
    <row r="55" spans="1:13" ht="15.75" x14ac:dyDescent="0.25">
      <c r="A55" s="207">
        <v>191</v>
      </c>
      <c r="B55" s="6" t="s">
        <v>2454</v>
      </c>
      <c r="C55" s="204" t="s">
        <v>1452</v>
      </c>
      <c r="D55" s="208" t="str">
        <f t="shared" si="7"/>
        <v>0215</v>
      </c>
      <c r="E55" s="208" t="str">
        <f t="shared" si="8"/>
        <v>4</v>
      </c>
      <c r="F55" s="209" t="str">
        <f t="shared" si="9"/>
        <v>013</v>
      </c>
      <c r="G55" s="210" t="s">
        <v>1883</v>
      </c>
      <c r="H55" s="6">
        <v>1700</v>
      </c>
      <c r="I55" s="6">
        <v>2200</v>
      </c>
      <c r="J55" s="6">
        <f>IF(OR(G55="ágazaton kívüli",G55="n.a."),2.2,IF(OR(E55=2,E55=3,E55=4),VLOOKUP(G55,Szakmaszorzók!$B$2:$D$25,2,0),VLOOKUP(G55,Szakmaszorzók!$B$2:$D$25,3,0)))</f>
        <v>2.2000000000000002</v>
      </c>
      <c r="K55" s="173">
        <f>'Támogatás szorzat tényezői'!$C$2*'Támogatás szorzat tényezői'!$C$5*J55*(H55/1000)</f>
        <v>1346400.0000000002</v>
      </c>
      <c r="L55" s="203" t="s">
        <v>2226</v>
      </c>
      <c r="M55" s="6">
        <f t="shared" si="3"/>
        <v>8</v>
      </c>
    </row>
    <row r="56" spans="1:13" ht="15.75" x14ac:dyDescent="0.25">
      <c r="A56" s="207">
        <v>192</v>
      </c>
      <c r="B56" s="6" t="s">
        <v>2552</v>
      </c>
      <c r="C56" s="204" t="s">
        <v>1453</v>
      </c>
      <c r="D56" s="208" t="str">
        <f t="shared" si="7"/>
        <v>0215</v>
      </c>
      <c r="E56" s="208" t="str">
        <f t="shared" si="8"/>
        <v>4</v>
      </c>
      <c r="F56" s="209" t="str">
        <f t="shared" si="9"/>
        <v>014</v>
      </c>
      <c r="G56" s="210" t="s">
        <v>1883</v>
      </c>
      <c r="H56" s="6">
        <v>1700</v>
      </c>
      <c r="I56" s="6">
        <v>2200</v>
      </c>
      <c r="J56" s="6">
        <f>IF(OR(G56="ágazaton kívüli",G56="n.a."),2.2,IF(OR(E56=2,E56=3,E56=4),VLOOKUP(G56,Szakmaszorzók!$B$2:$D$25,2,0),VLOOKUP(G56,Szakmaszorzók!$B$2:$D$25,3,0)))</f>
        <v>2.2000000000000002</v>
      </c>
      <c r="K56" s="173">
        <f>'Támogatás szorzat tényezői'!$C$2*'Támogatás szorzat tényezői'!$C$5*J56*(H56/1000)</f>
        <v>1346400.0000000002</v>
      </c>
      <c r="L56" s="203" t="s">
        <v>2227</v>
      </c>
      <c r="M56" s="6">
        <f t="shared" si="3"/>
        <v>8</v>
      </c>
    </row>
    <row r="57" spans="1:13" ht="15.75" x14ac:dyDescent="0.25">
      <c r="A57" s="207">
        <v>193</v>
      </c>
      <c r="B57" s="6" t="s">
        <v>2455</v>
      </c>
      <c r="C57" s="204" t="s">
        <v>1454</v>
      </c>
      <c r="D57" s="208" t="str">
        <f t="shared" si="7"/>
        <v>0215</v>
      </c>
      <c r="E57" s="208" t="str">
        <f t="shared" si="8"/>
        <v>4</v>
      </c>
      <c r="F57" s="209" t="str">
        <f t="shared" si="9"/>
        <v>015</v>
      </c>
      <c r="G57" s="210" t="s">
        <v>1883</v>
      </c>
      <c r="H57" s="6">
        <v>1700</v>
      </c>
      <c r="I57" s="6">
        <v>2200</v>
      </c>
      <c r="J57" s="6">
        <f>IF(OR(G57="ágazaton kívüli",G57="n.a."),2.2,IF(OR(E57=2,E57=3,E57=4),VLOOKUP(G57,Szakmaszorzók!$B$2:$D$25,2,0),VLOOKUP(G57,Szakmaszorzók!$B$2:$D$25,3,0)))</f>
        <v>2.2000000000000002</v>
      </c>
      <c r="K57" s="173">
        <f>'Támogatás szorzat tényezői'!$C$2*'Támogatás szorzat tényezői'!$C$5*J57*(H57/1000)</f>
        <v>1346400.0000000002</v>
      </c>
      <c r="L57" s="203" t="s">
        <v>2228</v>
      </c>
      <c r="M57" s="6">
        <f t="shared" si="3"/>
        <v>8</v>
      </c>
    </row>
    <row r="58" spans="1:13" ht="15.75" x14ac:dyDescent="0.25">
      <c r="A58" s="207">
        <v>194</v>
      </c>
      <c r="B58" s="6" t="s">
        <v>2456</v>
      </c>
      <c r="C58" s="204" t="s">
        <v>1455</v>
      </c>
      <c r="D58" s="208" t="str">
        <f t="shared" si="7"/>
        <v>0215</v>
      </c>
      <c r="E58" s="208" t="str">
        <f t="shared" si="8"/>
        <v>4</v>
      </c>
      <c r="F58" s="209" t="str">
        <f t="shared" si="9"/>
        <v>016</v>
      </c>
      <c r="G58" s="210" t="s">
        <v>1883</v>
      </c>
      <c r="H58" s="6">
        <v>1700</v>
      </c>
      <c r="I58" s="6">
        <v>2200</v>
      </c>
      <c r="J58" s="6">
        <f>IF(OR(G58="ágazaton kívüli",G58="n.a."),2.2,IF(OR(E58=2,E58=3,E58=4),VLOOKUP(G58,Szakmaszorzók!$B$2:$D$25,2,0),VLOOKUP(G58,Szakmaszorzók!$B$2:$D$25,3,0)))</f>
        <v>2.2000000000000002</v>
      </c>
      <c r="K58" s="173">
        <f>'Támogatás szorzat tényezői'!$C$2*'Támogatás szorzat tényezői'!$C$5*J58*(H58/1000)</f>
        <v>1346400.0000000002</v>
      </c>
      <c r="L58" s="203" t="s">
        <v>2229</v>
      </c>
      <c r="M58" s="6">
        <f t="shared" si="3"/>
        <v>8</v>
      </c>
    </row>
    <row r="59" spans="1:13" ht="15.75" x14ac:dyDescent="0.25">
      <c r="A59" s="207">
        <v>302</v>
      </c>
      <c r="B59" s="6" t="s">
        <v>2512</v>
      </c>
      <c r="C59" s="204" t="s">
        <v>1456</v>
      </c>
      <c r="D59" s="204" t="str">
        <f t="shared" si="7"/>
        <v>0416</v>
      </c>
      <c r="E59" s="204" t="str">
        <f t="shared" si="8"/>
        <v>4</v>
      </c>
      <c r="F59" s="205" t="str">
        <f t="shared" si="9"/>
        <v>002</v>
      </c>
      <c r="G59" s="6" t="s">
        <v>1351</v>
      </c>
      <c r="H59" s="6">
        <v>200</v>
      </c>
      <c r="I59" s="6">
        <v>300</v>
      </c>
      <c r="J59" s="6">
        <f>IF(OR(G59="ágazaton kívüli",G59="n.a."),2.2,IF(OR(E59=2,E59=3,E59=4),VLOOKUP(G59,Szakmaszorzók!$B$2:$D$25,2,0),VLOOKUP(G59,Szakmaszorzók!$B$2:$D$25,3,0)))</f>
        <v>2.2000000000000002</v>
      </c>
      <c r="K59" s="173">
        <f>'Támogatás szorzat tényezői'!$C$2*'Támogatás szorzat tényezői'!$C$5*J59*(H59/1000)</f>
        <v>158400.00000000003</v>
      </c>
      <c r="L59" s="203" t="s">
        <v>2337</v>
      </c>
      <c r="M59" s="6">
        <f t="shared" si="3"/>
        <v>8</v>
      </c>
    </row>
    <row r="60" spans="1:13" ht="15.75" x14ac:dyDescent="0.25">
      <c r="A60" s="207">
        <v>102</v>
      </c>
      <c r="B60" s="6" t="s">
        <v>2673</v>
      </c>
      <c r="C60" s="204" t="s">
        <v>1705</v>
      </c>
      <c r="D60" s="204" t="str">
        <f t="shared" si="7"/>
        <v>0831</v>
      </c>
      <c r="E60" s="204" t="str">
        <f t="shared" si="8"/>
        <v>3</v>
      </c>
      <c r="F60" s="205" t="str">
        <f t="shared" si="9"/>
        <v>001</v>
      </c>
      <c r="G60" s="6" t="s">
        <v>1316</v>
      </c>
      <c r="H60" s="6">
        <v>240</v>
      </c>
      <c r="I60" s="6">
        <v>360</v>
      </c>
      <c r="J60" s="6">
        <f>IF(OR(G60="ágazaton kívüli",G60="n.a."),2.2,IF(OR(E60=2,E60=3,E60=4),VLOOKUP(G60,Szakmaszorzók!$B$2:$D$25,2,0),VLOOKUP(G60,Szakmaszorzók!$B$2:$D$25,3,0)))</f>
        <v>2.85</v>
      </c>
      <c r="K60" s="173">
        <f>'Támogatás szorzat tényezői'!$C$2*'Támogatás szorzat tényezői'!$C$5*J60*(H60/1000)</f>
        <v>246240</v>
      </c>
      <c r="L60" s="203" t="s">
        <v>2137</v>
      </c>
      <c r="M60" s="6">
        <f t="shared" si="3"/>
        <v>8</v>
      </c>
    </row>
    <row r="61" spans="1:13" ht="15.75" x14ac:dyDescent="0.25">
      <c r="A61" s="207">
        <v>3</v>
      </c>
      <c r="B61" s="6" t="s">
        <v>2576</v>
      </c>
      <c r="C61" s="204" t="s">
        <v>1457</v>
      </c>
      <c r="D61" s="204" t="str">
        <f t="shared" si="7"/>
        <v>0714</v>
      </c>
      <c r="E61" s="204" t="str">
        <f t="shared" si="8"/>
        <v>3</v>
      </c>
      <c r="F61" s="205" t="str">
        <f t="shared" si="9"/>
        <v>002</v>
      </c>
      <c r="G61" s="6" t="s">
        <v>1290</v>
      </c>
      <c r="H61" s="6">
        <v>480</v>
      </c>
      <c r="I61" s="6">
        <v>600</v>
      </c>
      <c r="J61" s="6">
        <f>IF(OR(G61="ágazaton kívüli",G61="n.a."),2.2,IF(OR(E61=2,E61=3,E61=4),VLOOKUP(G61,Szakmaszorzók!$B$2:$D$25,2,0),VLOOKUP(G61,Szakmaszorzók!$B$2:$D$25,3,0)))</f>
        <v>2.85</v>
      </c>
      <c r="K61" s="173">
        <f>'Támogatás szorzat tényezői'!$C$2*'Támogatás szorzat tényezői'!$C$5*J61*(H61/1000)</f>
        <v>492480</v>
      </c>
      <c r="L61" s="203" t="s">
        <v>2038</v>
      </c>
      <c r="M61" s="6">
        <f t="shared" si="3"/>
        <v>8</v>
      </c>
    </row>
    <row r="62" spans="1:13" ht="15.75" x14ac:dyDescent="0.25">
      <c r="A62" s="207">
        <v>303</v>
      </c>
      <c r="B62" s="6" t="s">
        <v>2569</v>
      </c>
      <c r="C62" s="204" t="s">
        <v>1458</v>
      </c>
      <c r="D62" s="204" t="str">
        <f t="shared" si="7"/>
        <v>0416</v>
      </c>
      <c r="E62" s="204" t="str">
        <f t="shared" si="8"/>
        <v>3</v>
      </c>
      <c r="F62" s="205" t="str">
        <f t="shared" si="9"/>
        <v>011</v>
      </c>
      <c r="G62" s="6" t="s">
        <v>1351</v>
      </c>
      <c r="H62" s="6">
        <v>80</v>
      </c>
      <c r="I62" s="6">
        <v>120</v>
      </c>
      <c r="J62" s="6">
        <f>IF(OR(G62="ágazaton kívüli",G62="n.a."),2.2,IF(OR(E62=2,E62=3,E62=4),VLOOKUP(G62,Szakmaszorzók!$B$2:$D$25,2,0),VLOOKUP(G62,Szakmaszorzók!$B$2:$D$25,3,0)))</f>
        <v>2.2000000000000002</v>
      </c>
      <c r="K62" s="173">
        <f>'Támogatás szorzat tényezői'!$C$2*'Támogatás szorzat tényezői'!$C$5*J62*(H62/1000)</f>
        <v>63360.000000000007</v>
      </c>
      <c r="L62" s="203" t="s">
        <v>2338</v>
      </c>
      <c r="M62" s="6">
        <f t="shared" si="3"/>
        <v>8</v>
      </c>
    </row>
    <row r="63" spans="1:13" ht="15.75" x14ac:dyDescent="0.25">
      <c r="A63" s="207">
        <v>116</v>
      </c>
      <c r="B63" s="6" t="s">
        <v>2674</v>
      </c>
      <c r="C63" s="204">
        <v>10022401</v>
      </c>
      <c r="D63" s="204" t="str">
        <f t="shared" si="7"/>
        <v>1002</v>
      </c>
      <c r="E63" s="204" t="str">
        <f t="shared" si="8"/>
        <v>2</v>
      </c>
      <c r="F63" s="205" t="str">
        <f t="shared" si="9"/>
        <v>401</v>
      </c>
      <c r="G63" s="6" t="s">
        <v>1709</v>
      </c>
      <c r="H63" s="6">
        <v>160</v>
      </c>
      <c r="I63" s="6">
        <v>160</v>
      </c>
      <c r="J63" s="6">
        <f>IF(OR(G63="ágazaton kívüli",G63="n.a."),2.2,IF(OR(E63=2,E63=3,E63=4),VLOOKUP(G63,Szakmaszorzók!$B$2:$D$25,2,0),VLOOKUP(G63,Szakmaszorzók!$B$2:$D$25,3,0)))</f>
        <v>2.2000000000000002</v>
      </c>
      <c r="K63" s="173">
        <f>'Támogatás szorzat tényezői'!$C$2*'Támogatás szorzat tényezői'!$C$5*J63*(H63/1000)</f>
        <v>126720.00000000001</v>
      </c>
      <c r="L63" s="203" t="s">
        <v>2151</v>
      </c>
      <c r="M63" s="6">
        <f t="shared" si="3"/>
        <v>8</v>
      </c>
    </row>
    <row r="64" spans="1:13" ht="15.75" x14ac:dyDescent="0.25">
      <c r="A64" s="207">
        <v>5</v>
      </c>
      <c r="B64" s="6" t="s">
        <v>2578</v>
      </c>
      <c r="C64" s="204" t="s">
        <v>1658</v>
      </c>
      <c r="D64" s="204" t="str">
        <f t="shared" si="7"/>
        <v>0713</v>
      </c>
      <c r="E64" s="204" t="str">
        <f t="shared" si="8"/>
        <v>4</v>
      </c>
      <c r="F64" s="205" t="str">
        <f t="shared" si="9"/>
        <v>019</v>
      </c>
      <c r="G64" s="6" t="s">
        <v>1301</v>
      </c>
      <c r="H64" s="6">
        <v>320</v>
      </c>
      <c r="I64" s="6">
        <v>480</v>
      </c>
      <c r="J64" s="6">
        <f>IF(OR(G64="ágazaton kívüli",G64="n.a."),2.2,IF(OR(E64=2,E64=3,E64=4),VLOOKUP(G64,Szakmaszorzók!$B$2:$D$25,2,0),VLOOKUP(G64,Szakmaszorzók!$B$2:$D$25,3,0)))</f>
        <v>2.85</v>
      </c>
      <c r="K64" s="173">
        <f>'Támogatás szorzat tényezői'!$C$2*'Támogatás szorzat tényezői'!$C$5*J64*(H64/1000)</f>
        <v>328320</v>
      </c>
      <c r="L64" s="203" t="s">
        <v>2040</v>
      </c>
      <c r="M64" s="6">
        <f t="shared" si="3"/>
        <v>8</v>
      </c>
    </row>
    <row r="65" spans="1:13" ht="15.75" x14ac:dyDescent="0.25">
      <c r="A65" s="207">
        <v>6</v>
      </c>
      <c r="B65" s="6" t="s">
        <v>2579</v>
      </c>
      <c r="C65" s="204" t="s">
        <v>1657</v>
      </c>
      <c r="D65" s="204" t="str">
        <f t="shared" si="7"/>
        <v>0713</v>
      </c>
      <c r="E65" s="204" t="str">
        <f t="shared" si="8"/>
        <v>4</v>
      </c>
      <c r="F65" s="205" t="str">
        <f t="shared" si="9"/>
        <v>018</v>
      </c>
      <c r="G65" s="6" t="s">
        <v>1301</v>
      </c>
      <c r="H65" s="6">
        <v>640</v>
      </c>
      <c r="I65" s="6">
        <v>960</v>
      </c>
      <c r="J65" s="6">
        <f>IF(OR(G65="ágazaton kívüli",G65="n.a."),2.2,IF(OR(E65=2,E65=3,E65=4),VLOOKUP(G65,Szakmaszorzók!$B$2:$D$25,2,0),VLOOKUP(G65,Szakmaszorzók!$B$2:$D$25,3,0)))</f>
        <v>2.85</v>
      </c>
      <c r="K65" s="173">
        <f>'Támogatás szorzat tényezői'!$C$2*'Támogatás szorzat tényezői'!$C$5*J65*(H65/1000)</f>
        <v>656640</v>
      </c>
      <c r="L65" s="203" t="s">
        <v>2041</v>
      </c>
      <c r="M65" s="6">
        <f t="shared" si="3"/>
        <v>8</v>
      </c>
    </row>
    <row r="66" spans="1:13" ht="15.75" x14ac:dyDescent="0.25">
      <c r="A66" s="207">
        <v>7</v>
      </c>
      <c r="B66" s="6" t="s">
        <v>2580</v>
      </c>
      <c r="C66" s="204" t="s">
        <v>1656</v>
      </c>
      <c r="D66" s="204" t="str">
        <f t="shared" si="7"/>
        <v>0713</v>
      </c>
      <c r="E66" s="204" t="str">
        <f t="shared" si="8"/>
        <v>4</v>
      </c>
      <c r="F66" s="205" t="str">
        <f t="shared" si="9"/>
        <v>017</v>
      </c>
      <c r="G66" s="6" t="s">
        <v>1301</v>
      </c>
      <c r="H66" s="6">
        <v>320</v>
      </c>
      <c r="I66" s="6">
        <v>480</v>
      </c>
      <c r="J66" s="6">
        <f>IF(OR(G66="ágazaton kívüli",G66="n.a."),2.2,IF(OR(E66=2,E66=3,E66=4),VLOOKUP(G66,Szakmaszorzók!$B$2:$D$25,2,0),VLOOKUP(G66,Szakmaszorzók!$B$2:$D$25,3,0)))</f>
        <v>2.85</v>
      </c>
      <c r="K66" s="173">
        <f>'Támogatás szorzat tényezői'!$C$2*'Támogatás szorzat tényezői'!$C$5*J66*(H66/1000)</f>
        <v>328320</v>
      </c>
      <c r="L66" s="203" t="s">
        <v>2042</v>
      </c>
      <c r="M66" s="6">
        <f t="shared" ref="M66:M129" si="10">LEN(C66)</f>
        <v>8</v>
      </c>
    </row>
    <row r="67" spans="1:13" ht="15.75" x14ac:dyDescent="0.25">
      <c r="A67" s="207">
        <v>8</v>
      </c>
      <c r="B67" s="6" t="s">
        <v>2581</v>
      </c>
      <c r="C67" s="204" t="s">
        <v>1660</v>
      </c>
      <c r="D67" s="204" t="str">
        <f t="shared" si="7"/>
        <v>0713</v>
      </c>
      <c r="E67" s="204" t="str">
        <f t="shared" si="8"/>
        <v>4</v>
      </c>
      <c r="F67" s="205" t="str">
        <f t="shared" si="9"/>
        <v>021</v>
      </c>
      <c r="G67" s="6" t="s">
        <v>1301</v>
      </c>
      <c r="H67" s="6">
        <v>320</v>
      </c>
      <c r="I67" s="6">
        <v>480</v>
      </c>
      <c r="J67" s="6">
        <f>IF(OR(G67="ágazaton kívüli",G67="n.a."),2.2,IF(OR(E67=2,E67=3,E67=4),VLOOKUP(G67,Szakmaszorzók!$B$2:$D$25,2,0),VLOOKUP(G67,Szakmaszorzók!$B$2:$D$25,3,0)))</f>
        <v>2.85</v>
      </c>
      <c r="K67" s="173">
        <f>'Támogatás szorzat tényezői'!$C$2*'Támogatás szorzat tényezői'!$C$5*J67*(H67/1000)</f>
        <v>328320</v>
      </c>
      <c r="L67" s="203" t="s">
        <v>2043</v>
      </c>
      <c r="M67" s="6">
        <f t="shared" si="10"/>
        <v>8</v>
      </c>
    </row>
    <row r="68" spans="1:13" ht="15.75" x14ac:dyDescent="0.25">
      <c r="A68" s="207">
        <v>79</v>
      </c>
      <c r="B68" s="6" t="s">
        <v>2650</v>
      </c>
      <c r="C68" s="204" t="s">
        <v>1459</v>
      </c>
      <c r="D68" s="204" t="str">
        <f t="shared" si="7"/>
        <v>0722</v>
      </c>
      <c r="E68" s="204" t="str">
        <f t="shared" si="8"/>
        <v>3</v>
      </c>
      <c r="F68" s="205" t="str">
        <f t="shared" si="9"/>
        <v>006</v>
      </c>
      <c r="G68" s="6" t="s">
        <v>1280</v>
      </c>
      <c r="H68" s="6">
        <v>120</v>
      </c>
      <c r="I68" s="6">
        <v>220</v>
      </c>
      <c r="J68" s="6">
        <f>IF(OR(G68="ágazaton kívüli",G68="n.a."),2.2,IF(OR(E68=2,E68=3,E68=4),VLOOKUP(G68,Szakmaszorzók!$B$2:$D$25,2,0),VLOOKUP(G68,Szakmaszorzók!$B$2:$D$25,3,0)))</f>
        <v>2.85</v>
      </c>
      <c r="K68" s="173">
        <f>'Támogatás szorzat tényezői'!$C$2*'Támogatás szorzat tényezői'!$C$5*J68*(H68/1000)</f>
        <v>123120</v>
      </c>
      <c r="L68" s="203" t="s">
        <v>2114</v>
      </c>
      <c r="M68" s="6">
        <f t="shared" si="10"/>
        <v>8</v>
      </c>
    </row>
    <row r="69" spans="1:13" ht="15.75" x14ac:dyDescent="0.25">
      <c r="A69" s="207">
        <v>154</v>
      </c>
      <c r="B69" s="6" t="s">
        <v>2701</v>
      </c>
      <c r="C69" s="204" t="s">
        <v>2791</v>
      </c>
      <c r="D69" s="208" t="str">
        <f t="shared" si="7"/>
        <v>0214</v>
      </c>
      <c r="E69" s="208" t="str">
        <f t="shared" si="8"/>
        <v>5</v>
      </c>
      <c r="F69" s="209" t="str">
        <f t="shared" si="9"/>
        <v>021</v>
      </c>
      <c r="G69" s="210" t="s">
        <v>1883</v>
      </c>
      <c r="H69" s="6">
        <v>480</v>
      </c>
      <c r="I69" s="6">
        <v>720</v>
      </c>
      <c r="J69" s="6">
        <f>IF(OR(G69="ágazaton kívüli",G69="n.a."),2.2,IF(OR(E69=2,E69=3,E69=4),VLOOKUP(G69,Szakmaszorzók!$B$2:$D$25,2,0),VLOOKUP(G69,Szakmaszorzók!$B$2:$D$25,3,0)))</f>
        <v>2.2000000000000002</v>
      </c>
      <c r="K69" s="173">
        <f>'Támogatás szorzat tényezői'!$C$2*'Támogatás szorzat tényezői'!$C$5*J69*(H69/1000)</f>
        <v>380160.00000000006</v>
      </c>
      <c r="L69" s="203" t="s">
        <v>2189</v>
      </c>
      <c r="M69" s="6">
        <f t="shared" si="10"/>
        <v>8</v>
      </c>
    </row>
    <row r="70" spans="1:13" ht="15.75" x14ac:dyDescent="0.25">
      <c r="A70" s="207">
        <v>80</v>
      </c>
      <c r="B70" s="6" t="s">
        <v>2651</v>
      </c>
      <c r="C70" s="204" t="s">
        <v>1460</v>
      </c>
      <c r="D70" s="204" t="str">
        <f t="shared" si="7"/>
        <v>0722</v>
      </c>
      <c r="E70" s="204" t="str">
        <f t="shared" si="8"/>
        <v>3</v>
      </c>
      <c r="F70" s="205" t="str">
        <f t="shared" si="9"/>
        <v>011</v>
      </c>
      <c r="G70" s="6" t="s">
        <v>1289</v>
      </c>
      <c r="H70" s="6">
        <v>700</v>
      </c>
      <c r="I70" s="6">
        <v>900</v>
      </c>
      <c r="J70" s="6">
        <f>IF(OR(G70="ágazaton kívüli",G70="n.a."),2.2,IF(OR(E70=2,E70=3,E70=4),VLOOKUP(G70,Szakmaszorzók!$B$2:$D$25,2,0),VLOOKUP(G70,Szakmaszorzók!$B$2:$D$25,3,0)))</f>
        <v>2.42</v>
      </c>
      <c r="K70" s="173">
        <f>'Támogatás szorzat tényezői'!$C$2*'Támogatás szorzat tényezői'!$C$5*J70*(H70/1000)</f>
        <v>609840</v>
      </c>
      <c r="L70" s="203" t="s">
        <v>2115</v>
      </c>
      <c r="M70" s="6">
        <f t="shared" si="10"/>
        <v>8</v>
      </c>
    </row>
    <row r="71" spans="1:13" ht="15.75" x14ac:dyDescent="0.25">
      <c r="A71" s="207">
        <v>70</v>
      </c>
      <c r="B71" s="6" t="s">
        <v>2643</v>
      </c>
      <c r="C71" s="204" t="s">
        <v>1704</v>
      </c>
      <c r="D71" s="204" t="str">
        <f t="shared" si="7"/>
        <v>0821</v>
      </c>
      <c r="E71" s="204" t="str">
        <f t="shared" si="8"/>
        <v>3</v>
      </c>
      <c r="F71" s="205" t="str">
        <f t="shared" si="9"/>
        <v>002</v>
      </c>
      <c r="G71" s="6" t="s">
        <v>1316</v>
      </c>
      <c r="H71" s="6">
        <v>320</v>
      </c>
      <c r="I71" s="6">
        <v>480</v>
      </c>
      <c r="J71" s="6">
        <f>IF(OR(G71="ágazaton kívüli",G71="n.a."),2.2,IF(OR(E71=2,E71=3,E71=4),VLOOKUP(G71,Szakmaszorzók!$B$2:$D$25,2,0),VLOOKUP(G71,Szakmaszorzók!$B$2:$D$25,3,0)))</f>
        <v>2.85</v>
      </c>
      <c r="K71" s="173">
        <f>'Támogatás szorzat tényezői'!$C$2*'Támogatás szorzat tényezői'!$C$5*J71*(H71/1000)</f>
        <v>328320</v>
      </c>
      <c r="L71" s="203" t="s">
        <v>2105</v>
      </c>
      <c r="M71" s="6">
        <f t="shared" si="10"/>
        <v>8</v>
      </c>
    </row>
    <row r="72" spans="1:13" ht="15.75" x14ac:dyDescent="0.25">
      <c r="A72" s="207">
        <v>275</v>
      </c>
      <c r="B72" s="6" t="s">
        <v>2720</v>
      </c>
      <c r="C72" s="204">
        <v>10133007</v>
      </c>
      <c r="D72" s="204" t="str">
        <f t="shared" si="7"/>
        <v>1013</v>
      </c>
      <c r="E72" s="204" t="str">
        <f t="shared" si="8"/>
        <v>3</v>
      </c>
      <c r="F72" s="205" t="str">
        <f t="shared" si="9"/>
        <v>007</v>
      </c>
      <c r="G72" s="6" t="s">
        <v>1303</v>
      </c>
      <c r="H72" s="6">
        <v>200</v>
      </c>
      <c r="I72" s="6">
        <v>300</v>
      </c>
      <c r="J72" s="6">
        <f>IF(OR(G72="ágazaton kívüli",G72="n.a."),2.2,IF(OR(E72=2,E72=3,E72=4),VLOOKUP(G72,Szakmaszorzók!$B$2:$D$25,2,0),VLOOKUP(G72,Szakmaszorzók!$B$2:$D$25,3,0)))</f>
        <v>2.2000000000000002</v>
      </c>
      <c r="K72" s="173">
        <f>'Támogatás szorzat tényezői'!$C$2*'Támogatás szorzat tényezői'!$C$5*J72*(H72/1000)</f>
        <v>158400.00000000003</v>
      </c>
      <c r="L72" s="203" t="s">
        <v>2310</v>
      </c>
      <c r="M72" s="6">
        <f t="shared" si="10"/>
        <v>8</v>
      </c>
    </row>
    <row r="73" spans="1:13" ht="15.75" x14ac:dyDescent="0.25">
      <c r="A73" s="207">
        <v>348</v>
      </c>
      <c r="B73" s="6" t="s">
        <v>2524</v>
      </c>
      <c r="C73" s="204">
        <v>10324022</v>
      </c>
      <c r="D73" s="204" t="str">
        <f t="shared" si="7"/>
        <v>1032</v>
      </c>
      <c r="E73" s="204" t="str">
        <f t="shared" si="8"/>
        <v>4</v>
      </c>
      <c r="F73" s="205" t="str">
        <f t="shared" si="9"/>
        <v>022</v>
      </c>
      <c r="G73" s="6" t="s">
        <v>1373</v>
      </c>
      <c r="H73" s="6">
        <v>250</v>
      </c>
      <c r="I73" s="6">
        <v>400</v>
      </c>
      <c r="J73" s="6">
        <f>IF(OR(G73="ágazaton kívüli",G73="n.a."),2.2,IF(OR(E73=2,E73=3,E73=4),VLOOKUP(G73,Szakmaszorzók!$B$2:$D$25,2,0),VLOOKUP(G73,Szakmaszorzók!$B$2:$D$25,3,0)))</f>
        <v>2.2000000000000002</v>
      </c>
      <c r="K73" s="173">
        <f>'Támogatás szorzat tényezői'!$C$2*'Támogatás szorzat tényezői'!$C$5*J73*(H73/1000)</f>
        <v>198000.00000000003</v>
      </c>
      <c r="L73" s="203" t="s">
        <v>2383</v>
      </c>
      <c r="M73" s="6">
        <f t="shared" si="10"/>
        <v>8</v>
      </c>
    </row>
    <row r="74" spans="1:13" ht="15.75" x14ac:dyDescent="0.25">
      <c r="A74" s="207">
        <v>134</v>
      </c>
      <c r="B74" s="6" t="s">
        <v>2691</v>
      </c>
      <c r="C74" s="204" t="s">
        <v>2787</v>
      </c>
      <c r="D74" s="208" t="str">
        <f t="shared" si="7"/>
        <v>0700</v>
      </c>
      <c r="E74" s="208" t="str">
        <f t="shared" si="8"/>
        <v>4</v>
      </c>
      <c r="F74" s="209" t="str">
        <f t="shared" si="9"/>
        <v>002</v>
      </c>
      <c r="G74" s="6" t="s">
        <v>1301</v>
      </c>
      <c r="H74" s="6">
        <v>320</v>
      </c>
      <c r="I74" s="6">
        <v>350</v>
      </c>
      <c r="J74" s="6">
        <f>IF(OR(G74="ágazaton kívüli",G74="n.a."),2.2,IF(OR(E74=2,E74=3,E74=4),VLOOKUP(G74,Szakmaszorzók!$B$2:$D$25,2,0),VLOOKUP(G74,Szakmaszorzók!$B$2:$D$25,3,0)))</f>
        <v>2.85</v>
      </c>
      <c r="K74" s="173">
        <f>'Támogatás szorzat tényezői'!$C$2*'Támogatás szorzat tényezői'!$C$5*J74*(H74/1000)</f>
        <v>328320</v>
      </c>
      <c r="L74" s="203" t="s">
        <v>2169</v>
      </c>
      <c r="M74" s="6">
        <f t="shared" si="10"/>
        <v>8</v>
      </c>
    </row>
    <row r="75" spans="1:13" ht="15.75" x14ac:dyDescent="0.25">
      <c r="A75" s="207">
        <v>135</v>
      </c>
      <c r="B75" s="6" t="s">
        <v>2692</v>
      </c>
      <c r="C75" s="204" t="s">
        <v>1652</v>
      </c>
      <c r="D75" s="208" t="str">
        <f t="shared" si="7"/>
        <v>0700</v>
      </c>
      <c r="E75" s="208" t="str">
        <f t="shared" si="8"/>
        <v>3</v>
      </c>
      <c r="F75" s="209" t="str">
        <f t="shared" si="9"/>
        <v>001</v>
      </c>
      <c r="G75" s="6" t="s">
        <v>1301</v>
      </c>
      <c r="H75" s="6">
        <v>400</v>
      </c>
      <c r="I75" s="6">
        <v>600</v>
      </c>
      <c r="J75" s="6">
        <f>IF(OR(G75="ágazaton kívüli",G75="n.a."),2.2,IF(OR(E75=2,E75=3,E75=4),VLOOKUP(G75,Szakmaszorzók!$B$2:$D$25,2,0),VLOOKUP(G75,Szakmaszorzók!$B$2:$D$25,3,0)))</f>
        <v>2.85</v>
      </c>
      <c r="K75" s="173">
        <f>'Támogatás szorzat tényezői'!$C$2*'Támogatás szorzat tényezői'!$C$5*J75*(H75/1000)</f>
        <v>410400</v>
      </c>
      <c r="L75" s="203" t="s">
        <v>2170</v>
      </c>
      <c r="M75" s="6">
        <f t="shared" si="10"/>
        <v>8</v>
      </c>
    </row>
    <row r="76" spans="1:13" ht="15.75" x14ac:dyDescent="0.25">
      <c r="A76" s="207">
        <v>56</v>
      </c>
      <c r="B76" s="6" t="s">
        <v>2629</v>
      </c>
      <c r="C76" s="204" t="s">
        <v>2784</v>
      </c>
      <c r="D76" s="204" t="str">
        <f t="shared" si="7"/>
        <v>0914</v>
      </c>
      <c r="E76" s="204" t="str">
        <f t="shared" si="8"/>
        <v>4</v>
      </c>
      <c r="F76" s="205" t="str">
        <f t="shared" si="9"/>
        <v>002</v>
      </c>
      <c r="G76" s="6" t="s">
        <v>1285</v>
      </c>
      <c r="H76" s="6">
        <v>300</v>
      </c>
      <c r="I76" s="6">
        <v>330</v>
      </c>
      <c r="J76" s="6">
        <f>IF(OR(G76="ágazaton kívüli",G76="n.a."),2.2,IF(OR(E76=2,E76=3,E76=4),VLOOKUP(G76,Szakmaszorzók!$B$2:$D$25,2,0),VLOOKUP(G76,Szakmaszorzók!$B$2:$D$25,3,0)))</f>
        <v>2.2000000000000002</v>
      </c>
      <c r="K76" s="173">
        <f>'Támogatás szorzat tényezői'!$C$2*'Támogatás szorzat tényezői'!$C$5*J76*(H76/1000)</f>
        <v>237600.00000000003</v>
      </c>
      <c r="L76" s="203" t="s">
        <v>2091</v>
      </c>
      <c r="M76" s="6">
        <f t="shared" si="10"/>
        <v>8</v>
      </c>
    </row>
    <row r="77" spans="1:13" ht="15.75" x14ac:dyDescent="0.25">
      <c r="A77" s="207">
        <v>304</v>
      </c>
      <c r="B77" s="6" t="s">
        <v>2513</v>
      </c>
      <c r="C77" s="204" t="s">
        <v>1461</v>
      </c>
      <c r="D77" s="204" t="str">
        <f t="shared" si="7"/>
        <v>0416</v>
      </c>
      <c r="E77" s="204" t="str">
        <f t="shared" si="8"/>
        <v>4</v>
      </c>
      <c r="F77" s="205" t="str">
        <f t="shared" si="9"/>
        <v>003</v>
      </c>
      <c r="G77" s="6" t="s">
        <v>1351</v>
      </c>
      <c r="H77" s="6">
        <v>200</v>
      </c>
      <c r="I77" s="6">
        <v>300</v>
      </c>
      <c r="J77" s="6">
        <f>IF(OR(G77="ágazaton kívüli",G77="n.a."),2.2,IF(OR(E77=2,E77=3,E77=4),VLOOKUP(G77,Szakmaszorzók!$B$2:$D$25,2,0),VLOOKUP(G77,Szakmaszorzók!$B$2:$D$25,3,0)))</f>
        <v>2.2000000000000002</v>
      </c>
      <c r="K77" s="173">
        <f>'Támogatás szorzat tényezői'!$C$2*'Támogatás szorzat tényezői'!$C$5*J77*(H77/1000)</f>
        <v>158400.00000000003</v>
      </c>
      <c r="L77" s="203" t="s">
        <v>2339</v>
      </c>
      <c r="M77" s="6">
        <f t="shared" si="10"/>
        <v>8</v>
      </c>
    </row>
    <row r="78" spans="1:13" ht="15.75" x14ac:dyDescent="0.25">
      <c r="A78" s="207">
        <v>272</v>
      </c>
      <c r="B78" s="6" t="s">
        <v>2717</v>
      </c>
      <c r="C78" s="204">
        <v>10144002</v>
      </c>
      <c r="D78" s="204" t="str">
        <f t="shared" si="7"/>
        <v>1014</v>
      </c>
      <c r="E78" s="204" t="str">
        <f t="shared" si="8"/>
        <v>4</v>
      </c>
      <c r="F78" s="205" t="str">
        <f t="shared" si="9"/>
        <v>002</v>
      </c>
      <c r="G78" s="6" t="s">
        <v>1325</v>
      </c>
      <c r="H78" s="6">
        <v>200</v>
      </c>
      <c r="I78" s="6">
        <v>250</v>
      </c>
      <c r="J78" s="6">
        <f>IF(OR(G78="ágazaton kívüli",G78="n.a."),2.2,IF(OR(E78=2,E78=3,E78=4),VLOOKUP(G78,Szakmaszorzók!$B$2:$D$25,2,0),VLOOKUP(G78,Szakmaszorzók!$B$2:$D$25,3,0)))</f>
        <v>2.2000000000000002</v>
      </c>
      <c r="K78" s="173">
        <f>'Támogatás szorzat tényezői'!$C$2*'Támogatás szorzat tényezői'!$C$5*J78*(H78/1000)</f>
        <v>158400.00000000003</v>
      </c>
      <c r="L78" s="203" t="s">
        <v>2307</v>
      </c>
      <c r="M78" s="6">
        <f t="shared" si="10"/>
        <v>8</v>
      </c>
    </row>
    <row r="79" spans="1:13" ht="15.75" x14ac:dyDescent="0.25">
      <c r="A79" s="207">
        <v>266</v>
      </c>
      <c r="B79" s="6" t="s">
        <v>2775</v>
      </c>
      <c r="C79" s="204">
        <v>10125001</v>
      </c>
      <c r="D79" s="204" t="str">
        <f t="shared" si="7"/>
        <v>1012</v>
      </c>
      <c r="E79" s="204" t="str">
        <f t="shared" si="8"/>
        <v>5</v>
      </c>
      <c r="F79" s="205" t="str">
        <f t="shared" si="9"/>
        <v>001</v>
      </c>
      <c r="G79" s="6" t="s">
        <v>1327</v>
      </c>
      <c r="H79" s="6">
        <v>1100</v>
      </c>
      <c r="I79" s="6">
        <v>1200</v>
      </c>
      <c r="J79" s="6">
        <f>IF(OR(G79="ágazaton kívüli",G79="n.a."),2.2,IF(OR(E79=2,E79=3,E79=4),VLOOKUP(G79,Szakmaszorzók!$B$2:$D$25,2,0),VLOOKUP(G79,Szakmaszorzók!$B$2:$D$25,3,0)))</f>
        <v>2.42</v>
      </c>
      <c r="K79" s="173">
        <f>'Támogatás szorzat tényezői'!$C$2*'Támogatás szorzat tényezői'!$C$5*J79*(H79/1000)</f>
        <v>958320.00000000012</v>
      </c>
      <c r="L79" s="203" t="s">
        <v>2301</v>
      </c>
      <c r="M79" s="6">
        <f t="shared" si="10"/>
        <v>8</v>
      </c>
    </row>
    <row r="80" spans="1:13" ht="15.75" x14ac:dyDescent="0.25">
      <c r="A80" s="207">
        <v>136</v>
      </c>
      <c r="B80" s="6" t="s">
        <v>2693</v>
      </c>
      <c r="C80" s="204" t="s">
        <v>1462</v>
      </c>
      <c r="D80" s="208" t="str">
        <f t="shared" si="7"/>
        <v>0211</v>
      </c>
      <c r="E80" s="208" t="str">
        <f t="shared" si="8"/>
        <v>4</v>
      </c>
      <c r="F80" s="209" t="str">
        <f t="shared" si="9"/>
        <v>002</v>
      </c>
      <c r="G80" s="210" t="s">
        <v>1298</v>
      </c>
      <c r="H80" s="6">
        <v>600</v>
      </c>
      <c r="I80" s="6">
        <v>800</v>
      </c>
      <c r="J80" s="6">
        <f>IF(OR(G80="ágazaton kívüli",G80="n.a."),2.2,IF(OR(E80=2,E80=3,E80=4),VLOOKUP(G80,Szakmaszorzók!$B$2:$D$25,2,0),VLOOKUP(G80,Szakmaszorzók!$B$2:$D$25,3,0)))</f>
        <v>2.42</v>
      </c>
      <c r="K80" s="173">
        <f>'Támogatás szorzat tényezői'!$C$2*'Támogatás szorzat tényezői'!$C$5*J80*(H80/1000)</f>
        <v>522720</v>
      </c>
      <c r="L80" s="203" t="s">
        <v>2171</v>
      </c>
      <c r="M80" s="6">
        <f t="shared" si="10"/>
        <v>8</v>
      </c>
    </row>
    <row r="81" spans="1:13" ht="15.75" x14ac:dyDescent="0.25">
      <c r="A81" s="207">
        <v>99</v>
      </c>
      <c r="B81" s="6" t="s">
        <v>2670</v>
      </c>
      <c r="C81" s="204" t="s">
        <v>1463</v>
      </c>
      <c r="D81" s="204" t="str">
        <f t="shared" si="7"/>
        <v>0531</v>
      </c>
      <c r="E81" s="204" t="str">
        <f t="shared" si="8"/>
        <v>4</v>
      </c>
      <c r="F81" s="205" t="str">
        <f t="shared" si="9"/>
        <v>001</v>
      </c>
      <c r="G81" s="6" t="s">
        <v>1280</v>
      </c>
      <c r="H81" s="6">
        <v>500</v>
      </c>
      <c r="I81" s="6">
        <v>600</v>
      </c>
      <c r="J81" s="6">
        <f>IF(OR(G81="ágazaton kívüli",G81="n.a."),2.2,IF(OR(E81=2,E81=3,E81=4),VLOOKUP(G81,Szakmaszorzók!$B$2:$D$25,2,0),VLOOKUP(G81,Szakmaszorzók!$B$2:$D$25,3,0)))</f>
        <v>2.85</v>
      </c>
      <c r="K81" s="173">
        <f>'Támogatás szorzat tényezői'!$C$2*'Támogatás szorzat tényezői'!$C$5*J81*(H81/1000)</f>
        <v>513000</v>
      </c>
      <c r="L81" s="203" t="s">
        <v>2134</v>
      </c>
      <c r="M81" s="6">
        <f t="shared" si="10"/>
        <v>8</v>
      </c>
    </row>
    <row r="82" spans="1:13" ht="15.75" x14ac:dyDescent="0.25">
      <c r="A82" s="207">
        <v>98</v>
      </c>
      <c r="B82" s="6" t="s">
        <v>2669</v>
      </c>
      <c r="C82" s="204" t="s">
        <v>1637</v>
      </c>
      <c r="D82" s="204" t="str">
        <f t="shared" si="7"/>
        <v>0532</v>
      </c>
      <c r="E82" s="204" t="str">
        <f t="shared" si="8"/>
        <v>5</v>
      </c>
      <c r="F82" s="205" t="str">
        <f t="shared" si="9"/>
        <v>001</v>
      </c>
      <c r="G82" s="6" t="s">
        <v>1316</v>
      </c>
      <c r="H82" s="6">
        <v>480</v>
      </c>
      <c r="I82" s="6">
        <v>600</v>
      </c>
      <c r="J82" s="6">
        <f>IF(OR(G82="ágazaton kívüli",G82="n.a."),2.2,IF(OR(E82=2,E82=3,E82=4),VLOOKUP(G82,Szakmaszorzók!$B$2:$D$25,2,0),VLOOKUP(G82,Szakmaszorzók!$B$2:$D$25,3,0)))</f>
        <v>2.85</v>
      </c>
      <c r="K82" s="173">
        <f>'Támogatás szorzat tényezői'!$C$2*'Támogatás szorzat tényezői'!$C$5*J82*(H82/1000)</f>
        <v>492480</v>
      </c>
      <c r="L82" s="203" t="s">
        <v>2133</v>
      </c>
      <c r="M82" s="6">
        <f t="shared" si="10"/>
        <v>8</v>
      </c>
    </row>
    <row r="83" spans="1:13" ht="15.75" x14ac:dyDescent="0.25">
      <c r="A83" s="207">
        <v>81</v>
      </c>
      <c r="B83" s="6" t="s">
        <v>2652</v>
      </c>
      <c r="C83" s="204" t="s">
        <v>1464</v>
      </c>
      <c r="D83" s="204" t="str">
        <f t="shared" si="7"/>
        <v>0722</v>
      </c>
      <c r="E83" s="204" t="str">
        <f t="shared" si="8"/>
        <v>3</v>
      </c>
      <c r="F83" s="205" t="str">
        <f t="shared" si="9"/>
        <v>005</v>
      </c>
      <c r="G83" s="6" t="s">
        <v>1280</v>
      </c>
      <c r="H83" s="6">
        <v>160</v>
      </c>
      <c r="I83" s="6">
        <v>300</v>
      </c>
      <c r="J83" s="6">
        <f>IF(OR(G83="ágazaton kívüli",G83="n.a."),2.2,IF(OR(E83=2,E83=3,E83=4),VLOOKUP(G83,Szakmaszorzók!$B$2:$D$25,2,0),VLOOKUP(G83,Szakmaszorzók!$B$2:$D$25,3,0)))</f>
        <v>2.85</v>
      </c>
      <c r="K83" s="173">
        <f>'Támogatás szorzat tényezői'!$C$2*'Támogatás szorzat tényezői'!$C$5*J83*(H83/1000)</f>
        <v>164160</v>
      </c>
      <c r="L83" s="203" t="s">
        <v>2116</v>
      </c>
      <c r="M83" s="6">
        <f t="shared" si="10"/>
        <v>8</v>
      </c>
    </row>
    <row r="84" spans="1:13" ht="15.75" x14ac:dyDescent="0.25">
      <c r="A84" s="207">
        <v>53</v>
      </c>
      <c r="B84" s="6" t="s">
        <v>2626</v>
      </c>
      <c r="C84" s="204" t="s">
        <v>1465</v>
      </c>
      <c r="D84" s="204" t="str">
        <f t="shared" si="7"/>
        <v>0911</v>
      </c>
      <c r="E84" s="204" t="str">
        <f t="shared" si="8"/>
        <v>5</v>
      </c>
      <c r="F84" s="205" t="str">
        <f t="shared" si="9"/>
        <v>001</v>
      </c>
      <c r="G84" s="6" t="s">
        <v>1328</v>
      </c>
      <c r="H84" s="6">
        <v>160</v>
      </c>
      <c r="I84" s="6">
        <v>172</v>
      </c>
      <c r="J84" s="6">
        <f>IF(OR(G84="ágazaton kívüli",G84="n.a."),2.2,IF(OR(E84=2,E84=3,E84=4),VLOOKUP(G84,Szakmaszorzók!$B$2:$D$25,2,0),VLOOKUP(G84,Szakmaszorzók!$B$2:$D$25,3,0)))</f>
        <v>2.85</v>
      </c>
      <c r="K84" s="173">
        <f>'Támogatás szorzat tényezői'!$C$2*'Támogatás szorzat tényezői'!$C$5*J84*(H84/1000)</f>
        <v>164160</v>
      </c>
      <c r="L84" s="203" t="s">
        <v>2088</v>
      </c>
      <c r="M84" s="6">
        <f t="shared" si="10"/>
        <v>8</v>
      </c>
    </row>
    <row r="85" spans="1:13" ht="15.75" x14ac:dyDescent="0.25">
      <c r="A85" s="207">
        <v>71</v>
      </c>
      <c r="B85" s="6" t="s">
        <v>2644</v>
      </c>
      <c r="C85" s="204" t="s">
        <v>1703</v>
      </c>
      <c r="D85" s="204" t="str">
        <f t="shared" si="7"/>
        <v>0821</v>
      </c>
      <c r="E85" s="204" t="str">
        <f t="shared" si="8"/>
        <v>2</v>
      </c>
      <c r="F85" s="205" t="str">
        <f t="shared" si="9"/>
        <v>001</v>
      </c>
      <c r="G85" s="6" t="s">
        <v>1316</v>
      </c>
      <c r="H85" s="6">
        <v>140</v>
      </c>
      <c r="I85" s="6">
        <v>260</v>
      </c>
      <c r="J85" s="6">
        <f>IF(OR(G85="ágazaton kívüli",G85="n.a."),2.2,IF(OR(E85=2,E85=3,E85=4),VLOOKUP(G85,Szakmaszorzók!$B$2:$D$25,2,0),VLOOKUP(G85,Szakmaszorzók!$B$2:$D$25,3,0)))</f>
        <v>2.85</v>
      </c>
      <c r="K85" s="173">
        <f>'Támogatás szorzat tényezői'!$C$2*'Támogatás szorzat tényezői'!$C$5*J85*(H85/1000)</f>
        <v>143640</v>
      </c>
      <c r="L85" s="203" t="s">
        <v>2106</v>
      </c>
      <c r="M85" s="6">
        <f t="shared" si="10"/>
        <v>8</v>
      </c>
    </row>
    <row r="86" spans="1:13" ht="15.75" x14ac:dyDescent="0.25">
      <c r="A86" s="207">
        <v>129</v>
      </c>
      <c r="B86" s="6" t="s">
        <v>2686</v>
      </c>
      <c r="C86" s="204" t="s">
        <v>1466</v>
      </c>
      <c r="D86" s="208" t="str">
        <f t="shared" si="7"/>
        <v>0799</v>
      </c>
      <c r="E86" s="208" t="str">
        <f t="shared" si="8"/>
        <v>3</v>
      </c>
      <c r="F86" s="209" t="str">
        <f t="shared" si="9"/>
        <v>002</v>
      </c>
      <c r="G86" s="6" t="s">
        <v>1347</v>
      </c>
      <c r="H86" s="6">
        <v>200</v>
      </c>
      <c r="I86" s="6">
        <v>300</v>
      </c>
      <c r="J86" s="6">
        <f>IF(OR(G86="ágazaton kívüli",G86="n.a."),2.2,IF(OR(E86=2,E86=3,E86=4),VLOOKUP(G86,Szakmaszorzók!$B$2:$D$25,2,0),VLOOKUP(G86,Szakmaszorzók!$B$2:$D$25,3,0)))</f>
        <v>2.85</v>
      </c>
      <c r="K86" s="173">
        <f>'Támogatás szorzat tényezői'!$C$2*'Támogatás szorzat tényezői'!$C$5*J86*(H86/1000)</f>
        <v>205200</v>
      </c>
      <c r="L86" s="203" t="s">
        <v>2164</v>
      </c>
      <c r="M86" s="6">
        <f t="shared" si="10"/>
        <v>8</v>
      </c>
    </row>
    <row r="87" spans="1:13" ht="15.75" x14ac:dyDescent="0.25">
      <c r="A87" s="207">
        <v>9</v>
      </c>
      <c r="B87" s="6" t="s">
        <v>2582</v>
      </c>
      <c r="C87" s="204" t="s">
        <v>1655</v>
      </c>
      <c r="D87" s="204" t="str">
        <f t="shared" si="7"/>
        <v>0713</v>
      </c>
      <c r="E87" s="204" t="str">
        <f t="shared" si="8"/>
        <v>4</v>
      </c>
      <c r="F87" s="205" t="str">
        <f t="shared" si="9"/>
        <v>016</v>
      </c>
      <c r="G87" s="6" t="s">
        <v>1315</v>
      </c>
      <c r="H87" s="6">
        <v>300</v>
      </c>
      <c r="I87" s="6">
        <v>400</v>
      </c>
      <c r="J87" s="6">
        <f>IF(OR(G87="ágazaton kívüli",G87="n.a."),2.2,IF(OR(E87=2,E87=3,E87=4),VLOOKUP(G87,Szakmaszorzók!$B$2:$D$25,2,0),VLOOKUP(G87,Szakmaszorzók!$B$2:$D$25,3,0)))</f>
        <v>2.42</v>
      </c>
      <c r="K87" s="173">
        <f>'Támogatás szorzat tényezői'!$C$2*'Támogatás szorzat tényezői'!$C$5*J87*(H87/1000)</f>
        <v>261360</v>
      </c>
      <c r="L87" s="203" t="s">
        <v>2044</v>
      </c>
      <c r="M87" s="6">
        <f t="shared" si="10"/>
        <v>8</v>
      </c>
    </row>
    <row r="88" spans="1:13" ht="15.75" x14ac:dyDescent="0.25">
      <c r="A88" s="207">
        <v>10</v>
      </c>
      <c r="B88" s="6" t="s">
        <v>2583</v>
      </c>
      <c r="C88" s="204" t="s">
        <v>1668</v>
      </c>
      <c r="D88" s="204" t="str">
        <f t="shared" si="7"/>
        <v>0713</v>
      </c>
      <c r="E88" s="204" t="str">
        <f t="shared" si="8"/>
        <v>4</v>
      </c>
      <c r="F88" s="205" t="str">
        <f t="shared" si="9"/>
        <v>029</v>
      </c>
      <c r="G88" s="6" t="s">
        <v>1315</v>
      </c>
      <c r="H88" s="6">
        <v>80</v>
      </c>
      <c r="I88" s="6">
        <v>100</v>
      </c>
      <c r="J88" s="6">
        <f>IF(OR(G88="ágazaton kívüli",G88="n.a."),2.2,IF(OR(E88=2,E88=3,E88=4),VLOOKUP(G88,Szakmaszorzók!$B$2:$D$25,2,0),VLOOKUP(G88,Szakmaszorzók!$B$2:$D$25,3,0)))</f>
        <v>2.42</v>
      </c>
      <c r="K88" s="173">
        <f>'Támogatás szorzat tényezői'!$C$2*'Támogatás szorzat tényezői'!$C$5*J88*(H88/1000)</f>
        <v>69696</v>
      </c>
      <c r="L88" s="203" t="s">
        <v>2045</v>
      </c>
      <c r="M88" s="6">
        <f t="shared" si="10"/>
        <v>8</v>
      </c>
    </row>
    <row r="89" spans="1:13" ht="15.75" x14ac:dyDescent="0.25">
      <c r="A89" s="207">
        <v>11</v>
      </c>
      <c r="B89" s="6" t="s">
        <v>2584</v>
      </c>
      <c r="C89" s="204" t="s">
        <v>1654</v>
      </c>
      <c r="D89" s="204" t="str">
        <f t="shared" si="7"/>
        <v>0713</v>
      </c>
      <c r="E89" s="204" t="str">
        <f t="shared" si="8"/>
        <v>4</v>
      </c>
      <c r="F89" s="205" t="str">
        <f t="shared" si="9"/>
        <v>015</v>
      </c>
      <c r="G89" s="6" t="s">
        <v>1301</v>
      </c>
      <c r="H89" s="6">
        <v>320</v>
      </c>
      <c r="I89" s="6">
        <v>480</v>
      </c>
      <c r="J89" s="6">
        <f>IF(OR(G89="ágazaton kívüli",G89="n.a."),2.2,IF(OR(E89=2,E89=3,E89=4),VLOOKUP(G89,Szakmaszorzók!$B$2:$D$25,2,0),VLOOKUP(G89,Szakmaszorzók!$B$2:$D$25,3,0)))</f>
        <v>2.85</v>
      </c>
      <c r="K89" s="173">
        <f>'Támogatás szorzat tényezői'!$C$2*'Támogatás szorzat tényezői'!$C$5*J89*(H89/1000)</f>
        <v>328320</v>
      </c>
      <c r="L89" s="203" t="s">
        <v>2046</v>
      </c>
      <c r="M89" s="6">
        <f t="shared" si="10"/>
        <v>8</v>
      </c>
    </row>
    <row r="90" spans="1:13" ht="15.75" x14ac:dyDescent="0.25">
      <c r="A90" s="207">
        <v>36</v>
      </c>
      <c r="B90" s="6" t="s">
        <v>2609</v>
      </c>
      <c r="C90" s="204" t="s">
        <v>1467</v>
      </c>
      <c r="D90" s="204" t="str">
        <f t="shared" si="7"/>
        <v>0715</v>
      </c>
      <c r="E90" s="204" t="str">
        <f t="shared" si="8"/>
        <v>3</v>
      </c>
      <c r="F90" s="205" t="str">
        <f t="shared" si="9"/>
        <v>002</v>
      </c>
      <c r="G90" s="6" t="s">
        <v>1293</v>
      </c>
      <c r="H90" s="6">
        <v>380</v>
      </c>
      <c r="I90" s="6">
        <v>720</v>
      </c>
      <c r="J90" s="6">
        <f>IF(OR(G90="ágazaton kívüli",G90="n.a."),2.2,IF(OR(E90=2,E90=3,E90=4),VLOOKUP(G90,Szakmaszorzók!$B$2:$D$25,2,0),VLOOKUP(G90,Szakmaszorzók!$B$2:$D$25,3,0)))</f>
        <v>2.42</v>
      </c>
      <c r="K90" s="173">
        <f>'Támogatás szorzat tényezői'!$C$2*'Támogatás szorzat tényezői'!$C$5*J90*(H90/1000)</f>
        <v>331056</v>
      </c>
      <c r="L90" s="203" t="s">
        <v>2071</v>
      </c>
      <c r="M90" s="6">
        <f t="shared" si="10"/>
        <v>8</v>
      </c>
    </row>
    <row r="91" spans="1:13" ht="15.75" x14ac:dyDescent="0.25">
      <c r="A91" s="207">
        <v>103</v>
      </c>
      <c r="B91" s="6" t="s">
        <v>2415</v>
      </c>
      <c r="C91" s="204" t="s">
        <v>1647</v>
      </c>
      <c r="D91" s="204" t="str">
        <f t="shared" si="7"/>
        <v>0619</v>
      </c>
      <c r="E91" s="204" t="str">
        <f t="shared" si="8"/>
        <v>5</v>
      </c>
      <c r="F91" s="205" t="str">
        <f t="shared" si="9"/>
        <v>002</v>
      </c>
      <c r="G91" s="6" t="s">
        <v>1353</v>
      </c>
      <c r="H91" s="6">
        <v>350</v>
      </c>
      <c r="I91" s="6">
        <v>400</v>
      </c>
      <c r="J91" s="6">
        <f>IF(OR(G91="ágazaton kívüli",G91="n.a."),2.2,IF(OR(E91=2,E91=3,E91=4),VLOOKUP(G91,Szakmaszorzók!$B$2:$D$25,2,0),VLOOKUP(G91,Szakmaszorzók!$B$2:$D$25,3,0)))</f>
        <v>2.2000000000000002</v>
      </c>
      <c r="K91" s="173">
        <f>'Támogatás szorzat tényezői'!$C$2*'Támogatás szorzat tényezői'!$C$5*J91*(H91/1000)</f>
        <v>277200</v>
      </c>
      <c r="L91" s="203" t="s">
        <v>2138</v>
      </c>
      <c r="M91" s="6">
        <f t="shared" si="10"/>
        <v>8</v>
      </c>
    </row>
    <row r="92" spans="1:13" ht="15.75" x14ac:dyDescent="0.25">
      <c r="A92" s="207">
        <v>82</v>
      </c>
      <c r="B92" s="6" t="s">
        <v>2653</v>
      </c>
      <c r="C92" s="204" t="s">
        <v>1468</v>
      </c>
      <c r="D92" s="204" t="str">
        <f t="shared" si="7"/>
        <v>0722</v>
      </c>
      <c r="E92" s="204" t="str">
        <f t="shared" si="8"/>
        <v>3</v>
      </c>
      <c r="F92" s="205" t="str">
        <f t="shared" si="9"/>
        <v>010</v>
      </c>
      <c r="G92" s="6" t="s">
        <v>1280</v>
      </c>
      <c r="H92" s="6">
        <v>200</v>
      </c>
      <c r="I92" s="6">
        <v>350</v>
      </c>
      <c r="J92" s="6">
        <f>IF(OR(G92="ágazaton kívüli",G92="n.a."),2.2,IF(OR(E92=2,E92=3,E92=4),VLOOKUP(G92,Szakmaszorzók!$B$2:$D$25,2,0),VLOOKUP(G92,Szakmaszorzók!$B$2:$D$25,3,0)))</f>
        <v>2.85</v>
      </c>
      <c r="K92" s="173">
        <f>'Támogatás szorzat tényezői'!$C$2*'Támogatás szorzat tényezői'!$C$5*J92*(H92/1000)</f>
        <v>205200</v>
      </c>
      <c r="L92" s="203" t="s">
        <v>2117</v>
      </c>
      <c r="M92" s="6">
        <f t="shared" si="10"/>
        <v>8</v>
      </c>
    </row>
    <row r="93" spans="1:13" ht="15.75" x14ac:dyDescent="0.25">
      <c r="A93" s="207">
        <v>57</v>
      </c>
      <c r="B93" s="6" t="s">
        <v>2630</v>
      </c>
      <c r="C93" s="204" t="s">
        <v>2785</v>
      </c>
      <c r="D93" s="204" t="str">
        <f t="shared" si="7"/>
        <v>0915</v>
      </c>
      <c r="E93" s="204" t="str">
        <f t="shared" si="8"/>
        <v>4</v>
      </c>
      <c r="F93" s="205" t="str">
        <f t="shared" si="9"/>
        <v>001</v>
      </c>
      <c r="G93" s="6" t="s">
        <v>1285</v>
      </c>
      <c r="H93" s="6">
        <v>300</v>
      </c>
      <c r="I93" s="6">
        <v>360</v>
      </c>
      <c r="J93" s="6">
        <f>IF(OR(G93="ágazaton kívüli",G93="n.a."),2.2,IF(OR(E93=2,E93=3,E93=4),VLOOKUP(G93,Szakmaszorzók!$B$2:$D$25,2,0),VLOOKUP(G93,Szakmaszorzók!$B$2:$D$25,3,0)))</f>
        <v>2.2000000000000002</v>
      </c>
      <c r="K93" s="173">
        <f>'Támogatás szorzat tényezői'!$C$2*'Támogatás szorzat tényezői'!$C$5*J93*(H93/1000)</f>
        <v>237600.00000000003</v>
      </c>
      <c r="L93" s="203" t="s">
        <v>2092</v>
      </c>
      <c r="M93" s="6">
        <f t="shared" si="10"/>
        <v>8</v>
      </c>
    </row>
    <row r="94" spans="1:13" ht="15.75" x14ac:dyDescent="0.25">
      <c r="A94" s="207">
        <v>47</v>
      </c>
      <c r="B94" s="6" t="s">
        <v>2620</v>
      </c>
      <c r="C94" s="204" t="s">
        <v>1469</v>
      </c>
      <c r="D94" s="204" t="str">
        <f t="shared" si="7"/>
        <v>0711</v>
      </c>
      <c r="E94" s="204" t="str">
        <f t="shared" si="8"/>
        <v>5</v>
      </c>
      <c r="F94" s="205" t="str">
        <f t="shared" si="9"/>
        <v>003</v>
      </c>
      <c r="G94" s="6" t="s">
        <v>1280</v>
      </c>
      <c r="H94" s="6">
        <v>480</v>
      </c>
      <c r="I94" s="6">
        <v>720</v>
      </c>
      <c r="J94" s="6">
        <f>IF(OR(G94="ágazaton kívüli",G94="n.a."),2.2,IF(OR(E94=2,E94=3,E94=4),VLOOKUP(G94,Szakmaszorzók!$B$2:$D$25,2,0),VLOOKUP(G94,Szakmaszorzók!$B$2:$D$25,3,0)))</f>
        <v>2.85</v>
      </c>
      <c r="K94" s="173">
        <f>'Támogatás szorzat tényezői'!$C$2*'Támogatás szorzat tényezői'!$C$5*J94*(H94/1000)</f>
        <v>492480</v>
      </c>
      <c r="L94" s="203" t="s">
        <v>2082</v>
      </c>
      <c r="M94" s="6">
        <f t="shared" si="10"/>
        <v>8</v>
      </c>
    </row>
    <row r="95" spans="1:13" ht="15.75" x14ac:dyDescent="0.25">
      <c r="A95" s="207">
        <v>349</v>
      </c>
      <c r="B95" s="6" t="s">
        <v>2525</v>
      </c>
      <c r="C95" s="204">
        <v>10324003</v>
      </c>
      <c r="D95" s="204" t="str">
        <f t="shared" si="7"/>
        <v>1032</v>
      </c>
      <c r="E95" s="204" t="str">
        <f t="shared" si="8"/>
        <v>4</v>
      </c>
      <c r="F95" s="205" t="str">
        <f t="shared" si="9"/>
        <v>003</v>
      </c>
      <c r="G95" s="6" t="s">
        <v>1373</v>
      </c>
      <c r="H95" s="6">
        <v>1100</v>
      </c>
      <c r="I95" s="6">
        <v>1500</v>
      </c>
      <c r="J95" s="6">
        <f>IF(OR(G95="ágazaton kívüli",G95="n.a."),2.2,IF(OR(E95=2,E95=3,E95=4),VLOOKUP(G95,Szakmaszorzók!$B$2:$D$25,2,0),VLOOKUP(G95,Szakmaszorzók!$B$2:$D$25,3,0)))</f>
        <v>2.2000000000000002</v>
      </c>
      <c r="K95" s="173">
        <f>'Támogatás szorzat tényezői'!$C$2*'Támogatás szorzat tényezői'!$C$5*J95*(H95/1000)</f>
        <v>871200.00000000023</v>
      </c>
      <c r="L95" s="203" t="s">
        <v>2384</v>
      </c>
      <c r="M95" s="6">
        <f t="shared" si="10"/>
        <v>8</v>
      </c>
    </row>
    <row r="96" spans="1:13" ht="15.75" x14ac:dyDescent="0.25">
      <c r="A96" s="207">
        <v>12</v>
      </c>
      <c r="B96" s="6" t="s">
        <v>2585</v>
      </c>
      <c r="C96" s="204" t="s">
        <v>1470</v>
      </c>
      <c r="D96" s="204" t="str">
        <f t="shared" si="7"/>
        <v>0713</v>
      </c>
      <c r="E96" s="204" t="str">
        <f t="shared" si="8"/>
        <v>5</v>
      </c>
      <c r="F96" s="205" t="str">
        <f t="shared" si="9"/>
        <v>013</v>
      </c>
      <c r="G96" s="6" t="s">
        <v>1290</v>
      </c>
      <c r="H96" s="6">
        <v>600</v>
      </c>
      <c r="I96" s="6">
        <v>900</v>
      </c>
      <c r="J96" s="6">
        <f>IF(OR(G96="ágazaton kívüli",G96="n.a."),2.2,IF(OR(E96=2,E96=3,E96=4),VLOOKUP(G96,Szakmaszorzók!$B$2:$D$25,2,0),VLOOKUP(G96,Szakmaszorzók!$B$2:$D$25,3,0)))</f>
        <v>2.85</v>
      </c>
      <c r="K96" s="173">
        <f>'Támogatás szorzat tényezői'!$C$2*'Támogatás szorzat tényezői'!$C$5*J96*(H96/1000)</f>
        <v>615600</v>
      </c>
      <c r="L96" s="203" t="s">
        <v>2047</v>
      </c>
      <c r="M96" s="6">
        <f t="shared" si="10"/>
        <v>8</v>
      </c>
    </row>
    <row r="97" spans="1:13" ht="15.75" x14ac:dyDescent="0.25">
      <c r="A97" s="207">
        <v>37</v>
      </c>
      <c r="B97" s="6" t="s">
        <v>2610</v>
      </c>
      <c r="C97" s="204" t="s">
        <v>1672</v>
      </c>
      <c r="D97" s="204" t="str">
        <f t="shared" si="7"/>
        <v>0715</v>
      </c>
      <c r="E97" s="204" t="str">
        <f t="shared" si="8"/>
        <v>3</v>
      </c>
      <c r="F97" s="205" t="str">
        <f t="shared" si="9"/>
        <v>007</v>
      </c>
      <c r="G97" s="6" t="s">
        <v>1293</v>
      </c>
      <c r="H97" s="6">
        <v>400</v>
      </c>
      <c r="I97" s="6">
        <v>650</v>
      </c>
      <c r="J97" s="6">
        <f>IF(OR(G97="ágazaton kívüli",G97="n.a."),2.2,IF(OR(E97=2,E97=3,E97=4),VLOOKUP(G97,Szakmaszorzók!$B$2:$D$25,2,0),VLOOKUP(G97,Szakmaszorzók!$B$2:$D$25,3,0)))</f>
        <v>2.42</v>
      </c>
      <c r="K97" s="173">
        <f>'Támogatás szorzat tényezői'!$C$2*'Támogatás szorzat tényezői'!$C$5*J97*(H97/1000)</f>
        <v>348480</v>
      </c>
      <c r="L97" s="203" t="s">
        <v>2072</v>
      </c>
      <c r="M97" s="6">
        <f t="shared" si="10"/>
        <v>8</v>
      </c>
    </row>
    <row r="98" spans="1:13" ht="15.75" x14ac:dyDescent="0.25">
      <c r="A98" s="207">
        <v>61</v>
      </c>
      <c r="B98" s="6" t="s">
        <v>2634</v>
      </c>
      <c r="C98" s="204" t="s">
        <v>1471</v>
      </c>
      <c r="D98" s="204" t="str">
        <f t="shared" si="7"/>
        <v>0732</v>
      </c>
      <c r="E98" s="204" t="str">
        <f t="shared" si="8"/>
        <v>3</v>
      </c>
      <c r="F98" s="205" t="str">
        <f t="shared" si="9"/>
        <v>005</v>
      </c>
      <c r="G98" s="6" t="s">
        <v>1282</v>
      </c>
      <c r="H98" s="6">
        <v>300</v>
      </c>
      <c r="I98" s="6">
        <v>400</v>
      </c>
      <c r="J98" s="6">
        <f>IF(OR(G98="ágazaton kívüli",G98="n.a."),2.2,IF(OR(E98=2,E98=3,E98=4),VLOOKUP(G98,Szakmaszorzók!$B$2:$D$25,2,0),VLOOKUP(G98,Szakmaszorzók!$B$2:$D$25,3,0)))</f>
        <v>2.42</v>
      </c>
      <c r="K98" s="173">
        <f>'Támogatás szorzat tényezői'!$C$2*'Támogatás szorzat tényezői'!$C$5*J98*(H98/1000)</f>
        <v>261360</v>
      </c>
      <c r="L98" s="203" t="s">
        <v>2096</v>
      </c>
      <c r="M98" s="6">
        <f t="shared" si="10"/>
        <v>8</v>
      </c>
    </row>
    <row r="99" spans="1:13" ht="15.75" x14ac:dyDescent="0.25">
      <c r="A99" s="207">
        <v>13</v>
      </c>
      <c r="B99" s="6" t="s">
        <v>2586</v>
      </c>
      <c r="C99" s="204" t="s">
        <v>1472</v>
      </c>
      <c r="D99" s="204" t="str">
        <f t="shared" si="7"/>
        <v>0713</v>
      </c>
      <c r="E99" s="204" t="str">
        <f t="shared" si="8"/>
        <v>3</v>
      </c>
      <c r="F99" s="205" t="str">
        <f t="shared" si="9"/>
        <v>004</v>
      </c>
      <c r="G99" s="6" t="s">
        <v>1315</v>
      </c>
      <c r="H99" s="6">
        <v>150</v>
      </c>
      <c r="I99" s="6">
        <v>250</v>
      </c>
      <c r="J99" s="6">
        <f>IF(OR(G99="ágazaton kívüli",G99="n.a."),2.2,IF(OR(E99=2,E99=3,E99=4),VLOOKUP(G99,Szakmaszorzók!$B$2:$D$25,2,0),VLOOKUP(G99,Szakmaszorzók!$B$2:$D$25,3,0)))</f>
        <v>2.42</v>
      </c>
      <c r="K99" s="173">
        <f>'Támogatás szorzat tényezői'!$C$2*'Támogatás szorzat tényezői'!$C$5*J99*(H99/1000)</f>
        <v>130680</v>
      </c>
      <c r="L99" s="203" t="s">
        <v>2048</v>
      </c>
      <c r="M99" s="6">
        <f t="shared" si="10"/>
        <v>8</v>
      </c>
    </row>
    <row r="100" spans="1:13" ht="15.75" x14ac:dyDescent="0.25">
      <c r="A100" s="207">
        <v>14</v>
      </c>
      <c r="B100" s="6" t="s">
        <v>2587</v>
      </c>
      <c r="C100" s="204" t="s">
        <v>1473</v>
      </c>
      <c r="D100" s="204" t="str">
        <f t="shared" si="7"/>
        <v>0713</v>
      </c>
      <c r="E100" s="204" t="str">
        <f t="shared" si="8"/>
        <v>4</v>
      </c>
      <c r="F100" s="205" t="str">
        <f t="shared" si="9"/>
        <v>001</v>
      </c>
      <c r="G100" s="6" t="s">
        <v>1315</v>
      </c>
      <c r="H100" s="6">
        <v>400</v>
      </c>
      <c r="I100" s="6">
        <v>500</v>
      </c>
      <c r="J100" s="6">
        <f>IF(OR(G100="ágazaton kívüli",G100="n.a."),2.2,IF(OR(E100=2,E100=3,E100=4),VLOOKUP(G100,Szakmaszorzók!$B$2:$D$25,2,0),VLOOKUP(G100,Szakmaszorzók!$B$2:$D$25,3,0)))</f>
        <v>2.42</v>
      </c>
      <c r="K100" s="173">
        <f>'Támogatás szorzat tényezői'!$C$2*'Támogatás szorzat tényezői'!$C$5*J100*(H100/1000)</f>
        <v>348480</v>
      </c>
      <c r="L100" s="203" t="s">
        <v>2049</v>
      </c>
      <c r="M100" s="6">
        <f t="shared" si="10"/>
        <v>8</v>
      </c>
    </row>
    <row r="101" spans="1:13" ht="15.75" x14ac:dyDescent="0.25">
      <c r="A101" s="207">
        <v>289</v>
      </c>
      <c r="B101" s="6" t="s">
        <v>2733</v>
      </c>
      <c r="C101" s="204" t="s">
        <v>2796</v>
      </c>
      <c r="D101" s="204" t="str">
        <f t="shared" si="7"/>
        <v>0411</v>
      </c>
      <c r="E101" s="204" t="str">
        <f t="shared" si="8"/>
        <v>5</v>
      </c>
      <c r="F101" s="205" t="str">
        <f t="shared" si="9"/>
        <v>003</v>
      </c>
      <c r="G101" s="6" t="s">
        <v>1389</v>
      </c>
      <c r="H101" s="6">
        <v>240</v>
      </c>
      <c r="I101" s="6">
        <v>360</v>
      </c>
      <c r="J101" s="6">
        <f>IF(OR(G101="ágazaton kívüli",G101="n.a."),2.2,IF(OR(E101=2,E101=3,E101=4),VLOOKUP(G101,Szakmaszorzók!$B$2:$D$25,2,0),VLOOKUP(G101,Szakmaszorzók!$B$2:$D$25,3,0)))</f>
        <v>2.2000000000000002</v>
      </c>
      <c r="K101" s="173">
        <f>'Támogatás szorzat tényezői'!$C$2*'Támogatás szorzat tényezői'!$C$5*J101*(H101/1000)</f>
        <v>190080.00000000003</v>
      </c>
      <c r="L101" s="203" t="s">
        <v>2324</v>
      </c>
      <c r="M101" s="6">
        <f t="shared" si="10"/>
        <v>8</v>
      </c>
    </row>
    <row r="102" spans="1:13" ht="15.75" x14ac:dyDescent="0.25">
      <c r="A102" s="207">
        <v>104</v>
      </c>
      <c r="B102" s="6" t="s">
        <v>2416</v>
      </c>
      <c r="C102" s="204" t="s">
        <v>1646</v>
      </c>
      <c r="D102" s="204" t="str">
        <f t="shared" si="7"/>
        <v>0619</v>
      </c>
      <c r="E102" s="204" t="str">
        <f t="shared" si="8"/>
        <v>5</v>
      </c>
      <c r="F102" s="205" t="str">
        <f t="shared" si="9"/>
        <v>001</v>
      </c>
      <c r="G102" s="6" t="s">
        <v>1353</v>
      </c>
      <c r="H102" s="6">
        <v>350</v>
      </c>
      <c r="I102" s="6">
        <v>400</v>
      </c>
      <c r="J102" s="6">
        <f>IF(OR(G102="ágazaton kívüli",G102="n.a."),2.2,IF(OR(E102=2,E102=3,E102=4),VLOOKUP(G102,Szakmaszorzók!$B$2:$D$25,2,0),VLOOKUP(G102,Szakmaszorzók!$B$2:$D$25,3,0)))</f>
        <v>2.2000000000000002</v>
      </c>
      <c r="K102" s="173">
        <f>'Támogatás szorzat tényezői'!$C$2*'Támogatás szorzat tényezői'!$C$5*J102*(H102/1000)</f>
        <v>277200</v>
      </c>
      <c r="L102" s="203" t="s">
        <v>2139</v>
      </c>
      <c r="M102" s="6">
        <f t="shared" si="10"/>
        <v>8</v>
      </c>
    </row>
    <row r="103" spans="1:13" ht="15.75" x14ac:dyDescent="0.25">
      <c r="A103" s="207">
        <v>105</v>
      </c>
      <c r="B103" s="6" t="s">
        <v>2417</v>
      </c>
      <c r="C103" s="204" t="s">
        <v>1649</v>
      </c>
      <c r="D103" s="204" t="str">
        <f t="shared" si="7"/>
        <v>0619</v>
      </c>
      <c r="E103" s="204" t="str">
        <f t="shared" si="8"/>
        <v>5</v>
      </c>
      <c r="F103" s="205" t="str">
        <f t="shared" si="9"/>
        <v>004</v>
      </c>
      <c r="G103" s="6" t="s">
        <v>1353</v>
      </c>
      <c r="H103" s="6">
        <v>350</v>
      </c>
      <c r="I103" s="6">
        <v>400</v>
      </c>
      <c r="J103" s="6">
        <f>IF(OR(G103="ágazaton kívüli",G103="n.a."),2.2,IF(OR(E103=2,E103=3,E103=4),VLOOKUP(G103,Szakmaszorzók!$B$2:$D$25,2,0),VLOOKUP(G103,Szakmaszorzók!$B$2:$D$25,3,0)))</f>
        <v>2.2000000000000002</v>
      </c>
      <c r="K103" s="173">
        <f>'Támogatás szorzat tényezői'!$C$2*'Támogatás szorzat tényezői'!$C$5*J103*(H103/1000)</f>
        <v>277200</v>
      </c>
      <c r="L103" s="203" t="s">
        <v>2140</v>
      </c>
      <c r="M103" s="6">
        <f t="shared" si="10"/>
        <v>8</v>
      </c>
    </row>
    <row r="104" spans="1:13" ht="15.75" x14ac:dyDescent="0.25">
      <c r="A104" s="207">
        <v>106</v>
      </c>
      <c r="B104" s="6" t="s">
        <v>2537</v>
      </c>
      <c r="C104" s="204" t="s">
        <v>1650</v>
      </c>
      <c r="D104" s="204" t="str">
        <f t="shared" si="7"/>
        <v>0619</v>
      </c>
      <c r="E104" s="204" t="str">
        <f t="shared" si="8"/>
        <v>4</v>
      </c>
      <c r="F104" s="205" t="str">
        <f t="shared" si="9"/>
        <v>005</v>
      </c>
      <c r="G104" s="6" t="s">
        <v>1353</v>
      </c>
      <c r="H104" s="6">
        <v>700</v>
      </c>
      <c r="I104" s="6">
        <v>800</v>
      </c>
      <c r="J104" s="6">
        <f>IF(OR(G104="ágazaton kívüli",G104="n.a."),2.2,IF(OR(E104=2,E104=3,E104=4),VLOOKUP(G104,Szakmaszorzók!$B$2:$D$25,2,0),VLOOKUP(G104,Szakmaszorzók!$B$2:$D$25,3,0)))</f>
        <v>2.2000000000000002</v>
      </c>
      <c r="K104" s="173">
        <f>'Támogatás szorzat tényezői'!$C$2*'Támogatás szorzat tényezői'!$C$5*J104*(H104/1000)</f>
        <v>554400</v>
      </c>
      <c r="L104" s="203" t="s">
        <v>2141</v>
      </c>
      <c r="M104" s="6">
        <f t="shared" si="10"/>
        <v>8</v>
      </c>
    </row>
    <row r="105" spans="1:13" ht="15.75" x14ac:dyDescent="0.25">
      <c r="A105" s="207">
        <v>283</v>
      </c>
      <c r="B105" s="6" t="s">
        <v>2728</v>
      </c>
      <c r="C105" s="204">
        <v>10884001</v>
      </c>
      <c r="D105" s="204" t="str">
        <f t="shared" si="7"/>
        <v>1088</v>
      </c>
      <c r="E105" s="204" t="str">
        <f t="shared" si="8"/>
        <v>4</v>
      </c>
      <c r="F105" s="205" t="str">
        <f t="shared" si="9"/>
        <v>001</v>
      </c>
      <c r="G105" s="6" t="s">
        <v>1389</v>
      </c>
      <c r="H105" s="6">
        <v>240</v>
      </c>
      <c r="I105" s="6">
        <v>360</v>
      </c>
      <c r="J105" s="6">
        <f>IF(OR(G105="ágazaton kívüli",G105="n.a."),2.2,IF(OR(E105=2,E105=3,E105=4),VLOOKUP(G105,Szakmaszorzók!$B$2:$D$25,2,0),VLOOKUP(G105,Szakmaszorzók!$B$2:$D$25,3,0)))</f>
        <v>2.2000000000000002</v>
      </c>
      <c r="K105" s="173">
        <f>'Támogatás szorzat tényezői'!$C$2*'Támogatás szorzat tényezői'!$C$5*J105*(H105/1000)</f>
        <v>190080.00000000003</v>
      </c>
      <c r="L105" s="203" t="s">
        <v>2318</v>
      </c>
      <c r="M105" s="6">
        <f t="shared" si="10"/>
        <v>8</v>
      </c>
    </row>
    <row r="106" spans="1:13" ht="15.75" x14ac:dyDescent="0.25">
      <c r="A106" s="207">
        <v>305</v>
      </c>
      <c r="B106" s="6" t="s">
        <v>2739</v>
      </c>
      <c r="C106" s="204" t="s">
        <v>1474</v>
      </c>
      <c r="D106" s="204" t="str">
        <f t="shared" si="7"/>
        <v>0416</v>
      </c>
      <c r="E106" s="204" t="str">
        <f t="shared" si="8"/>
        <v>4</v>
      </c>
      <c r="F106" s="205" t="str">
        <f t="shared" si="9"/>
        <v>005</v>
      </c>
      <c r="G106" s="6" t="s">
        <v>1389</v>
      </c>
      <c r="H106" s="6">
        <v>240</v>
      </c>
      <c r="I106" s="6">
        <v>360</v>
      </c>
      <c r="J106" s="6">
        <f>IF(OR(G106="ágazaton kívüli",G106="n.a."),2.2,IF(OR(E106=2,E106=3,E106=4),VLOOKUP(G106,Szakmaszorzók!$B$2:$D$25,2,0),VLOOKUP(G106,Szakmaszorzók!$B$2:$D$25,3,0)))</f>
        <v>2.2000000000000002</v>
      </c>
      <c r="K106" s="173">
        <f>'Támogatás szorzat tényezői'!$C$2*'Támogatás szorzat tényezői'!$C$5*J106*(H106/1000)</f>
        <v>190080.00000000003</v>
      </c>
      <c r="L106" s="203" t="s">
        <v>2340</v>
      </c>
      <c r="M106" s="6">
        <f t="shared" si="10"/>
        <v>8</v>
      </c>
    </row>
    <row r="107" spans="1:13" ht="15.75" x14ac:dyDescent="0.25">
      <c r="A107" s="207">
        <v>285</v>
      </c>
      <c r="B107" s="6" t="s">
        <v>2776</v>
      </c>
      <c r="C107" s="204" t="s">
        <v>1475</v>
      </c>
      <c r="D107" s="204" t="str">
        <f t="shared" si="7"/>
        <v>0488</v>
      </c>
      <c r="E107" s="204" t="str">
        <f t="shared" si="8"/>
        <v>4</v>
      </c>
      <c r="F107" s="205" t="str">
        <f t="shared" si="9"/>
        <v>001</v>
      </c>
      <c r="G107" s="6" t="s">
        <v>1389</v>
      </c>
      <c r="H107" s="6">
        <v>240</v>
      </c>
      <c r="I107" s="6">
        <v>360</v>
      </c>
      <c r="J107" s="6">
        <f>IF(OR(G107="ágazaton kívüli",G107="n.a."),2.2,IF(OR(E107=2,E107=3,E107=4),VLOOKUP(G107,Szakmaszorzók!$B$2:$D$25,2,0),VLOOKUP(G107,Szakmaszorzók!$B$2:$D$25,3,0)))</f>
        <v>2.2000000000000002</v>
      </c>
      <c r="K107" s="173">
        <f>'Támogatás szorzat tényezői'!$C$2*'Támogatás szorzat tényezői'!$C$5*J107*(H107/1000)</f>
        <v>190080.00000000003</v>
      </c>
      <c r="L107" s="203" t="s">
        <v>2320</v>
      </c>
      <c r="M107" s="6">
        <f t="shared" si="10"/>
        <v>8</v>
      </c>
    </row>
    <row r="108" spans="1:13" ht="15.75" x14ac:dyDescent="0.25">
      <c r="A108" s="207">
        <v>83</v>
      </c>
      <c r="B108" s="6" t="s">
        <v>2654</v>
      </c>
      <c r="C108" s="204" t="s">
        <v>1476</v>
      </c>
      <c r="D108" s="204" t="str">
        <f t="shared" si="7"/>
        <v>0722</v>
      </c>
      <c r="E108" s="204" t="str">
        <f t="shared" si="8"/>
        <v>3</v>
      </c>
      <c r="F108" s="205" t="str">
        <f t="shared" si="9"/>
        <v>001</v>
      </c>
      <c r="G108" s="6" t="s">
        <v>1280</v>
      </c>
      <c r="H108" s="6">
        <v>250</v>
      </c>
      <c r="I108" s="6">
        <v>400</v>
      </c>
      <c r="J108" s="6">
        <f>IF(OR(G108="ágazaton kívüli",G108="n.a."),2.2,IF(OR(E108=2,E108=3,E108=4),VLOOKUP(G108,Szakmaszorzók!$B$2:$D$25,2,0),VLOOKUP(G108,Szakmaszorzók!$B$2:$D$25,3,0)))</f>
        <v>2.85</v>
      </c>
      <c r="K108" s="173">
        <f>'Támogatás szorzat tényezői'!$C$2*'Támogatás szorzat tényezői'!$C$5*J108*(H108/1000)</f>
        <v>256500</v>
      </c>
      <c r="L108" s="203" t="s">
        <v>2118</v>
      </c>
      <c r="M108" s="6">
        <f t="shared" si="10"/>
        <v>8</v>
      </c>
    </row>
    <row r="109" spans="1:13" ht="15.75" x14ac:dyDescent="0.25">
      <c r="A109" s="207">
        <v>15</v>
      </c>
      <c r="B109" s="6" t="s">
        <v>2588</v>
      </c>
      <c r="C109" s="204" t="s">
        <v>1477</v>
      </c>
      <c r="D109" s="204" t="str">
        <f t="shared" si="7"/>
        <v>0713</v>
      </c>
      <c r="E109" s="204" t="str">
        <f t="shared" si="8"/>
        <v>3</v>
      </c>
      <c r="F109" s="205" t="str">
        <f t="shared" si="9"/>
        <v>003</v>
      </c>
      <c r="G109" s="6" t="s">
        <v>1301</v>
      </c>
      <c r="H109" s="6">
        <v>80</v>
      </c>
      <c r="I109" s="6">
        <v>120</v>
      </c>
      <c r="J109" s="6">
        <f>IF(OR(G109="ágazaton kívüli",G109="n.a."),2.2,IF(OR(E109=2,E109=3,E109=4),VLOOKUP(G109,Szakmaszorzók!$B$2:$D$25,2,0),VLOOKUP(G109,Szakmaszorzók!$B$2:$D$25,3,0)))</f>
        <v>2.85</v>
      </c>
      <c r="K109" s="173">
        <f>'Támogatás szorzat tényezői'!$C$2*'Támogatás szorzat tényezői'!$C$5*J109*(H109/1000)</f>
        <v>82080</v>
      </c>
      <c r="L109" s="203" t="s">
        <v>2050</v>
      </c>
      <c r="M109" s="6">
        <f t="shared" si="10"/>
        <v>8</v>
      </c>
    </row>
    <row r="110" spans="1:13" ht="15.75" x14ac:dyDescent="0.25">
      <c r="A110" s="207">
        <v>100</v>
      </c>
      <c r="B110" s="6" t="s">
        <v>2671</v>
      </c>
      <c r="C110" s="204" t="s">
        <v>1635</v>
      </c>
      <c r="D110" s="204" t="str">
        <f t="shared" si="7"/>
        <v>0531</v>
      </c>
      <c r="E110" s="204" t="str">
        <f t="shared" si="8"/>
        <v>3</v>
      </c>
      <c r="F110" s="205" t="str">
        <f t="shared" si="9"/>
        <v>002</v>
      </c>
      <c r="G110" s="6" t="s">
        <v>1280</v>
      </c>
      <c r="H110" s="6">
        <v>800</v>
      </c>
      <c r="I110" s="6">
        <v>1000</v>
      </c>
      <c r="J110" s="6">
        <f>IF(OR(G110="ágazaton kívüli",G110="n.a."),2.2,IF(OR(E110=2,E110=3,E110=4),VLOOKUP(G110,Szakmaszorzók!$B$2:$D$25,2,0),VLOOKUP(G110,Szakmaszorzók!$B$2:$D$25,3,0)))</f>
        <v>2.85</v>
      </c>
      <c r="K110" s="173">
        <f>'Támogatás szorzat tényezői'!$C$2*'Támogatás szorzat tényezői'!$C$5*J110*(H110/1000)</f>
        <v>820800</v>
      </c>
      <c r="L110" s="203" t="s">
        <v>2135</v>
      </c>
      <c r="M110" s="6">
        <f t="shared" si="10"/>
        <v>8</v>
      </c>
    </row>
    <row r="111" spans="1:13" ht="15.75" x14ac:dyDescent="0.25">
      <c r="A111" s="207">
        <v>306</v>
      </c>
      <c r="B111" s="6" t="s">
        <v>2514</v>
      </c>
      <c r="C111" s="204" t="s">
        <v>1478</v>
      </c>
      <c r="D111" s="204" t="str">
        <f t="shared" si="7"/>
        <v>0416</v>
      </c>
      <c r="E111" s="204" t="str">
        <f t="shared" si="8"/>
        <v>3</v>
      </c>
      <c r="F111" s="205" t="str">
        <f t="shared" si="9"/>
        <v>009</v>
      </c>
      <c r="G111" s="6" t="s">
        <v>1351</v>
      </c>
      <c r="H111" s="6">
        <v>80</v>
      </c>
      <c r="I111" s="6">
        <v>120</v>
      </c>
      <c r="J111" s="6">
        <f>IF(OR(G111="ágazaton kívüli",G111="n.a."),2.2,IF(OR(E111=2,E111=3,E111=4),VLOOKUP(G111,Szakmaszorzók!$B$2:$D$25,2,0),VLOOKUP(G111,Szakmaszorzók!$B$2:$D$25,3,0)))</f>
        <v>2.2000000000000002</v>
      </c>
      <c r="K111" s="173">
        <f>'Támogatás szorzat tényezői'!$C$2*'Támogatás szorzat tényezői'!$C$5*J111*(H111/1000)</f>
        <v>63360.000000000007</v>
      </c>
      <c r="L111" s="203" t="s">
        <v>2341</v>
      </c>
      <c r="M111" s="6">
        <f t="shared" si="10"/>
        <v>8</v>
      </c>
    </row>
    <row r="112" spans="1:13" ht="15.75" x14ac:dyDescent="0.25">
      <c r="A112" s="207">
        <v>195</v>
      </c>
      <c r="B112" s="6" t="s">
        <v>2457</v>
      </c>
      <c r="C112" s="204" t="s">
        <v>1479</v>
      </c>
      <c r="D112" s="208" t="str">
        <f t="shared" si="7"/>
        <v>0215</v>
      </c>
      <c r="E112" s="208" t="str">
        <f t="shared" si="8"/>
        <v>5</v>
      </c>
      <c r="F112" s="209" t="str">
        <f t="shared" si="9"/>
        <v>027</v>
      </c>
      <c r="G112" s="210" t="s">
        <v>1883</v>
      </c>
      <c r="H112" s="6">
        <v>620</v>
      </c>
      <c r="I112" s="6">
        <v>1085</v>
      </c>
      <c r="J112" s="6">
        <f>IF(OR(G112="ágazaton kívüli",G112="n.a."),2.2,IF(OR(E112=2,E112=3,E112=4),VLOOKUP(G112,Szakmaszorzók!$B$2:$D$25,2,0),VLOOKUP(G112,Szakmaszorzók!$B$2:$D$25,3,0)))</f>
        <v>2.2000000000000002</v>
      </c>
      <c r="K112" s="173">
        <f>'Támogatás szorzat tényezői'!$C$2*'Támogatás szorzat tényezői'!$C$5*J112*(H112/1000)</f>
        <v>491040.00000000006</v>
      </c>
      <c r="L112" s="203" t="s">
        <v>2230</v>
      </c>
      <c r="M112" s="6">
        <f t="shared" si="10"/>
        <v>8</v>
      </c>
    </row>
    <row r="113" spans="1:13" ht="15.75" x14ac:dyDescent="0.25">
      <c r="A113" s="207">
        <v>196</v>
      </c>
      <c r="B113" s="6" t="s">
        <v>2553</v>
      </c>
      <c r="C113" s="204" t="s">
        <v>1480</v>
      </c>
      <c r="D113" s="208" t="str">
        <f t="shared" si="7"/>
        <v>0215</v>
      </c>
      <c r="E113" s="208" t="str">
        <f t="shared" si="8"/>
        <v>5</v>
      </c>
      <c r="F113" s="209" t="str">
        <f t="shared" si="9"/>
        <v>028</v>
      </c>
      <c r="G113" s="210" t="s">
        <v>1883</v>
      </c>
      <c r="H113" s="6">
        <v>620</v>
      </c>
      <c r="I113" s="6">
        <v>1085</v>
      </c>
      <c r="J113" s="6">
        <f>IF(OR(G113="ágazaton kívüli",G113="n.a."),2.2,IF(OR(E113=2,E113=3,E113=4),VLOOKUP(G113,Szakmaszorzók!$B$2:$D$25,2,0),VLOOKUP(G113,Szakmaszorzók!$B$2:$D$25,3,0)))</f>
        <v>2.2000000000000002</v>
      </c>
      <c r="K113" s="173">
        <f>'Támogatás szorzat tényezői'!$C$2*'Támogatás szorzat tényezői'!$C$5*J113*(H113/1000)</f>
        <v>491040.00000000006</v>
      </c>
      <c r="L113" s="203" t="s">
        <v>2231</v>
      </c>
      <c r="M113" s="6">
        <f t="shared" si="10"/>
        <v>8</v>
      </c>
    </row>
    <row r="114" spans="1:13" ht="15.75" x14ac:dyDescent="0.25">
      <c r="A114" s="207">
        <v>197</v>
      </c>
      <c r="B114" s="6" t="s">
        <v>2458</v>
      </c>
      <c r="C114" s="204" t="s">
        <v>1481</v>
      </c>
      <c r="D114" s="208" t="str">
        <f t="shared" si="7"/>
        <v>0215</v>
      </c>
      <c r="E114" s="208" t="str">
        <f t="shared" si="8"/>
        <v>5</v>
      </c>
      <c r="F114" s="209" t="str">
        <f t="shared" si="9"/>
        <v>029</v>
      </c>
      <c r="G114" s="210" t="s">
        <v>1883</v>
      </c>
      <c r="H114" s="6">
        <v>620</v>
      </c>
      <c r="I114" s="6">
        <v>1085</v>
      </c>
      <c r="J114" s="6">
        <f>IF(OR(G114="ágazaton kívüli",G114="n.a."),2.2,IF(OR(E114=2,E114=3,E114=4),VLOOKUP(G114,Szakmaszorzók!$B$2:$D$25,2,0),VLOOKUP(G114,Szakmaszorzók!$B$2:$D$25,3,0)))</f>
        <v>2.2000000000000002</v>
      </c>
      <c r="K114" s="173">
        <f>'Támogatás szorzat tényezői'!$C$2*'Támogatás szorzat tényezői'!$C$5*J114*(H114/1000)</f>
        <v>491040.00000000006</v>
      </c>
      <c r="L114" s="203" t="s">
        <v>2232</v>
      </c>
      <c r="M114" s="6">
        <f t="shared" si="10"/>
        <v>8</v>
      </c>
    </row>
    <row r="115" spans="1:13" ht="15.75" x14ac:dyDescent="0.25">
      <c r="A115" s="207">
        <v>198</v>
      </c>
      <c r="B115" s="6" t="s">
        <v>2459</v>
      </c>
      <c r="C115" s="204" t="s">
        <v>1482</v>
      </c>
      <c r="D115" s="208" t="str">
        <f t="shared" si="7"/>
        <v>0215</v>
      </c>
      <c r="E115" s="208" t="str">
        <f t="shared" si="8"/>
        <v>5</v>
      </c>
      <c r="F115" s="209" t="str">
        <f t="shared" si="9"/>
        <v>030</v>
      </c>
      <c r="G115" s="210" t="s">
        <v>1883</v>
      </c>
      <c r="H115" s="6">
        <v>620</v>
      </c>
      <c r="I115" s="6">
        <v>1085</v>
      </c>
      <c r="J115" s="6">
        <f>IF(OR(G115="ágazaton kívüli",G115="n.a."),2.2,IF(OR(E115=2,E115=3,E115=4),VLOOKUP(G115,Szakmaszorzók!$B$2:$D$25,2,0),VLOOKUP(G115,Szakmaszorzók!$B$2:$D$25,3,0)))</f>
        <v>2.2000000000000002</v>
      </c>
      <c r="K115" s="173">
        <f>'Támogatás szorzat tényezői'!$C$2*'Támogatás szorzat tényezői'!$C$5*J115*(H115/1000)</f>
        <v>491040.00000000006</v>
      </c>
      <c r="L115" s="203" t="s">
        <v>2233</v>
      </c>
      <c r="M115" s="6">
        <f t="shared" si="10"/>
        <v>8</v>
      </c>
    </row>
    <row r="116" spans="1:13" ht="15.75" x14ac:dyDescent="0.25">
      <c r="A116" s="207">
        <v>199</v>
      </c>
      <c r="B116" s="6" t="s">
        <v>2460</v>
      </c>
      <c r="C116" s="204" t="s">
        <v>1483</v>
      </c>
      <c r="D116" s="208" t="str">
        <f t="shared" si="7"/>
        <v>0215</v>
      </c>
      <c r="E116" s="208" t="str">
        <f t="shared" si="8"/>
        <v>5</v>
      </c>
      <c r="F116" s="209" t="str">
        <f t="shared" si="9"/>
        <v>031</v>
      </c>
      <c r="G116" s="210" t="s">
        <v>1883</v>
      </c>
      <c r="H116" s="6">
        <v>620</v>
      </c>
      <c r="I116" s="6">
        <v>1085</v>
      </c>
      <c r="J116" s="6">
        <f>IF(OR(G116="ágazaton kívüli",G116="n.a."),2.2,IF(OR(E116=2,E116=3,E116=4),VLOOKUP(G116,Szakmaszorzók!$B$2:$D$25,2,0),VLOOKUP(G116,Szakmaszorzók!$B$2:$D$25,3,0)))</f>
        <v>2.2000000000000002</v>
      </c>
      <c r="K116" s="173">
        <f>'Támogatás szorzat tényezői'!$C$2*'Támogatás szorzat tényezői'!$C$5*J116*(H116/1000)</f>
        <v>491040.00000000006</v>
      </c>
      <c r="L116" s="203" t="s">
        <v>2234</v>
      </c>
      <c r="M116" s="6">
        <f t="shared" si="10"/>
        <v>8</v>
      </c>
    </row>
    <row r="117" spans="1:13" ht="15.75" x14ac:dyDescent="0.25">
      <c r="A117" s="207">
        <v>200</v>
      </c>
      <c r="B117" s="6" t="s">
        <v>2461</v>
      </c>
      <c r="C117" s="204" t="s">
        <v>1484</v>
      </c>
      <c r="D117" s="208" t="str">
        <f t="shared" si="7"/>
        <v>0215</v>
      </c>
      <c r="E117" s="208" t="str">
        <f t="shared" si="8"/>
        <v>5</v>
      </c>
      <c r="F117" s="209" t="str">
        <f t="shared" si="9"/>
        <v>032</v>
      </c>
      <c r="G117" s="210" t="s">
        <v>1883</v>
      </c>
      <c r="H117" s="6">
        <v>620</v>
      </c>
      <c r="I117" s="6">
        <v>1085</v>
      </c>
      <c r="J117" s="6">
        <f>IF(OR(G117="ágazaton kívüli",G117="n.a."),2.2,IF(OR(E117=2,E117=3,E117=4),VLOOKUP(G117,Szakmaszorzók!$B$2:$D$25,2,0),VLOOKUP(G117,Szakmaszorzók!$B$2:$D$25,3,0)))</f>
        <v>2.2000000000000002</v>
      </c>
      <c r="K117" s="173">
        <f>'Támogatás szorzat tényezői'!$C$2*'Támogatás szorzat tényezői'!$C$5*J117*(H117/1000)</f>
        <v>491040.00000000006</v>
      </c>
      <c r="L117" s="203" t="s">
        <v>2235</v>
      </c>
      <c r="M117" s="6">
        <f t="shared" si="10"/>
        <v>8</v>
      </c>
    </row>
    <row r="118" spans="1:13" ht="15.75" x14ac:dyDescent="0.25">
      <c r="A118" s="207">
        <v>201</v>
      </c>
      <c r="B118" s="6" t="s">
        <v>2554</v>
      </c>
      <c r="C118" s="204" t="s">
        <v>1485</v>
      </c>
      <c r="D118" s="208" t="str">
        <f t="shared" ref="D118:D181" si="11">LEFT(C118,4)</f>
        <v>0215</v>
      </c>
      <c r="E118" s="208" t="str">
        <f t="shared" ref="E118:E181" si="12">LEFT(RIGHT(C118,4),1)</f>
        <v>4</v>
      </c>
      <c r="F118" s="209" t="str">
        <f t="shared" ref="F118:F181" si="13">RIGHT(C118,3)</f>
        <v>021</v>
      </c>
      <c r="G118" s="210" t="s">
        <v>1883</v>
      </c>
      <c r="H118" s="6">
        <v>1700</v>
      </c>
      <c r="I118" s="6">
        <v>2200</v>
      </c>
      <c r="J118" s="6">
        <f>IF(OR(G118="ágazaton kívüli",G118="n.a."),2.2,IF(OR(E118=2,E118=3,E118=4),VLOOKUP(G118,Szakmaszorzók!$B$2:$D$25,2,0),VLOOKUP(G118,Szakmaszorzók!$B$2:$D$25,3,0)))</f>
        <v>2.2000000000000002</v>
      </c>
      <c r="K118" s="173">
        <f>'Támogatás szorzat tényezői'!$C$2*'Támogatás szorzat tényezői'!$C$5*J118*(H118/1000)</f>
        <v>1346400.0000000002</v>
      </c>
      <c r="L118" s="203" t="s">
        <v>2236</v>
      </c>
      <c r="M118" s="6">
        <f t="shared" si="10"/>
        <v>8</v>
      </c>
    </row>
    <row r="119" spans="1:13" ht="15.75" x14ac:dyDescent="0.25">
      <c r="A119" s="207">
        <v>202</v>
      </c>
      <c r="B119" s="6" t="s">
        <v>2462</v>
      </c>
      <c r="C119" s="204" t="s">
        <v>1486</v>
      </c>
      <c r="D119" s="208" t="str">
        <f t="shared" si="11"/>
        <v>0215</v>
      </c>
      <c r="E119" s="208" t="str">
        <f t="shared" si="12"/>
        <v>4</v>
      </c>
      <c r="F119" s="209" t="str">
        <f t="shared" si="13"/>
        <v>022</v>
      </c>
      <c r="G119" s="210" t="s">
        <v>1883</v>
      </c>
      <c r="H119" s="6">
        <v>1700</v>
      </c>
      <c r="I119" s="6">
        <v>2200</v>
      </c>
      <c r="J119" s="6">
        <f>IF(OR(G119="ágazaton kívüli",G119="n.a."),2.2,IF(OR(E119=2,E119=3,E119=4),VLOOKUP(G119,Szakmaszorzók!$B$2:$D$25,2,0),VLOOKUP(G119,Szakmaszorzók!$B$2:$D$25,3,0)))</f>
        <v>2.2000000000000002</v>
      </c>
      <c r="K119" s="173">
        <f>'Támogatás szorzat tényezői'!$C$2*'Támogatás szorzat tényezői'!$C$5*J119*(H119/1000)</f>
        <v>1346400.0000000002</v>
      </c>
      <c r="L119" s="203" t="s">
        <v>2237</v>
      </c>
      <c r="M119" s="6">
        <f t="shared" si="10"/>
        <v>8</v>
      </c>
    </row>
    <row r="120" spans="1:13" ht="15.75" x14ac:dyDescent="0.25">
      <c r="A120" s="207">
        <v>203</v>
      </c>
      <c r="B120" s="6" t="s">
        <v>2463</v>
      </c>
      <c r="C120" s="204" t="s">
        <v>1487</v>
      </c>
      <c r="D120" s="208" t="str">
        <f t="shared" si="11"/>
        <v>0215</v>
      </c>
      <c r="E120" s="208" t="str">
        <f t="shared" si="12"/>
        <v>4</v>
      </c>
      <c r="F120" s="209" t="str">
        <f t="shared" si="13"/>
        <v>023</v>
      </c>
      <c r="G120" s="210" t="s">
        <v>1883</v>
      </c>
      <c r="H120" s="6">
        <v>1700</v>
      </c>
      <c r="I120" s="6">
        <v>2200</v>
      </c>
      <c r="J120" s="6">
        <f>IF(OR(G120="ágazaton kívüli",G120="n.a."),2.2,IF(OR(E120=2,E120=3,E120=4),VLOOKUP(G120,Szakmaszorzók!$B$2:$D$25,2,0),VLOOKUP(G120,Szakmaszorzók!$B$2:$D$25,3,0)))</f>
        <v>2.2000000000000002</v>
      </c>
      <c r="K120" s="173">
        <f>'Támogatás szorzat tényezői'!$C$2*'Támogatás szorzat tényezői'!$C$5*J120*(H120/1000)</f>
        <v>1346400.0000000002</v>
      </c>
      <c r="L120" s="203" t="s">
        <v>2238</v>
      </c>
      <c r="M120" s="6">
        <f t="shared" si="10"/>
        <v>8</v>
      </c>
    </row>
    <row r="121" spans="1:13" ht="15.75" x14ac:dyDescent="0.25">
      <c r="A121" s="207">
        <v>204</v>
      </c>
      <c r="B121" s="6" t="s">
        <v>2464</v>
      </c>
      <c r="C121" s="204" t="s">
        <v>1488</v>
      </c>
      <c r="D121" s="208" t="str">
        <f t="shared" si="11"/>
        <v>0215</v>
      </c>
      <c r="E121" s="208" t="str">
        <f t="shared" si="12"/>
        <v>4</v>
      </c>
      <c r="F121" s="209" t="str">
        <f t="shared" si="13"/>
        <v>024</v>
      </c>
      <c r="G121" s="210" t="s">
        <v>1883</v>
      </c>
      <c r="H121" s="6">
        <v>1700</v>
      </c>
      <c r="I121" s="6">
        <v>2200</v>
      </c>
      <c r="J121" s="6">
        <f>IF(OR(G121="ágazaton kívüli",G121="n.a."),2.2,IF(OR(E121=2,E121=3,E121=4),VLOOKUP(G121,Szakmaszorzók!$B$2:$D$25,2,0),VLOOKUP(G121,Szakmaszorzók!$B$2:$D$25,3,0)))</f>
        <v>2.2000000000000002</v>
      </c>
      <c r="K121" s="173">
        <f>'Támogatás szorzat tényezői'!$C$2*'Támogatás szorzat tényezői'!$C$5*J121*(H121/1000)</f>
        <v>1346400.0000000002</v>
      </c>
      <c r="L121" s="203" t="s">
        <v>2239</v>
      </c>
      <c r="M121" s="6">
        <f t="shared" si="10"/>
        <v>8</v>
      </c>
    </row>
    <row r="122" spans="1:13" ht="15.75" x14ac:dyDescent="0.25">
      <c r="A122" s="207">
        <v>205</v>
      </c>
      <c r="B122" s="6" t="s">
        <v>2465</v>
      </c>
      <c r="C122" s="204" t="s">
        <v>1489</v>
      </c>
      <c r="D122" s="208" t="str">
        <f t="shared" si="11"/>
        <v>0215</v>
      </c>
      <c r="E122" s="208" t="str">
        <f t="shared" si="12"/>
        <v>4</v>
      </c>
      <c r="F122" s="209" t="str">
        <f t="shared" si="13"/>
        <v>025</v>
      </c>
      <c r="G122" s="210" t="s">
        <v>1883</v>
      </c>
      <c r="H122" s="6">
        <v>1700</v>
      </c>
      <c r="I122" s="6">
        <v>2200</v>
      </c>
      <c r="J122" s="6">
        <f>IF(OR(G122="ágazaton kívüli",G122="n.a."),2.2,IF(OR(E122=2,E122=3,E122=4),VLOOKUP(G122,Szakmaszorzók!$B$2:$D$25,2,0),VLOOKUP(G122,Szakmaszorzók!$B$2:$D$25,3,0)))</f>
        <v>2.2000000000000002</v>
      </c>
      <c r="K122" s="173">
        <f>'Támogatás szorzat tényezői'!$C$2*'Támogatás szorzat tényezői'!$C$5*J122*(H122/1000)</f>
        <v>1346400.0000000002</v>
      </c>
      <c r="L122" s="203" t="s">
        <v>2240</v>
      </c>
      <c r="M122" s="6">
        <f t="shared" si="10"/>
        <v>8</v>
      </c>
    </row>
    <row r="123" spans="1:13" ht="15.75" x14ac:dyDescent="0.25">
      <c r="A123" s="207">
        <v>206</v>
      </c>
      <c r="B123" s="6" t="s">
        <v>2555</v>
      </c>
      <c r="C123" s="204" t="s">
        <v>1490</v>
      </c>
      <c r="D123" s="208" t="str">
        <f t="shared" si="11"/>
        <v>0215</v>
      </c>
      <c r="E123" s="208" t="str">
        <f t="shared" si="12"/>
        <v>4</v>
      </c>
      <c r="F123" s="209" t="str">
        <f t="shared" si="13"/>
        <v>026</v>
      </c>
      <c r="G123" s="210" t="s">
        <v>1883</v>
      </c>
      <c r="H123" s="6">
        <v>1700</v>
      </c>
      <c r="I123" s="6">
        <v>2200</v>
      </c>
      <c r="J123" s="6">
        <f>IF(OR(G123="ágazaton kívüli",G123="n.a."),2.2,IF(OR(E123=2,E123=3,E123=4),VLOOKUP(G123,Szakmaszorzók!$B$2:$D$25,2,0),VLOOKUP(G123,Szakmaszorzók!$B$2:$D$25,3,0)))</f>
        <v>2.2000000000000002</v>
      </c>
      <c r="K123" s="173">
        <f>'Támogatás szorzat tényezői'!$C$2*'Támogatás szorzat tényezői'!$C$5*J123*(H123/1000)</f>
        <v>1346400.0000000002</v>
      </c>
      <c r="L123" s="203" t="s">
        <v>2241</v>
      </c>
      <c r="M123" s="6">
        <f t="shared" si="10"/>
        <v>8</v>
      </c>
    </row>
    <row r="124" spans="1:13" ht="15.75" x14ac:dyDescent="0.25">
      <c r="A124" s="207">
        <v>109</v>
      </c>
      <c r="B124" s="6" t="s">
        <v>2538</v>
      </c>
      <c r="C124" s="204" t="s">
        <v>1642</v>
      </c>
      <c r="D124" s="204" t="str">
        <f t="shared" si="11"/>
        <v>0613</v>
      </c>
      <c r="E124" s="204" t="str">
        <f t="shared" si="12"/>
        <v>4</v>
      </c>
      <c r="F124" s="205" t="str">
        <f t="shared" si="13"/>
        <v>004</v>
      </c>
      <c r="G124" s="6" t="s">
        <v>1353</v>
      </c>
      <c r="H124" s="6">
        <v>320</v>
      </c>
      <c r="I124" s="6">
        <v>640</v>
      </c>
      <c r="J124" s="6">
        <f>IF(OR(G124="ágazaton kívüli",G124="n.a."),2.2,IF(OR(E124=2,E124=3,E124=4),VLOOKUP(G124,Szakmaszorzók!$B$2:$D$25,2,0),VLOOKUP(G124,Szakmaszorzók!$B$2:$D$25,3,0)))</f>
        <v>2.2000000000000002</v>
      </c>
      <c r="K124" s="173">
        <f>'Támogatás szorzat tényezői'!$C$2*'Támogatás szorzat tényezői'!$C$5*J124*(H124/1000)</f>
        <v>253440.00000000003</v>
      </c>
      <c r="L124" s="203" t="s">
        <v>2144</v>
      </c>
      <c r="M124" s="6">
        <f t="shared" si="10"/>
        <v>8</v>
      </c>
    </row>
    <row r="125" spans="1:13" ht="15.75" x14ac:dyDescent="0.25">
      <c r="A125" s="207">
        <v>110</v>
      </c>
      <c r="B125" s="6" t="s">
        <v>2420</v>
      </c>
      <c r="C125" s="204" t="s">
        <v>1643</v>
      </c>
      <c r="D125" s="204" t="str">
        <f t="shared" si="11"/>
        <v>0613</v>
      </c>
      <c r="E125" s="204" t="str">
        <f t="shared" si="12"/>
        <v>4</v>
      </c>
      <c r="F125" s="205" t="str">
        <f t="shared" si="13"/>
        <v>005</v>
      </c>
      <c r="G125" s="6" t="s">
        <v>1353</v>
      </c>
      <c r="H125" s="6">
        <v>320</v>
      </c>
      <c r="I125" s="6">
        <v>640</v>
      </c>
      <c r="J125" s="6">
        <f>IF(OR(G125="ágazaton kívüli",G125="n.a."),2.2,IF(OR(E125=2,E125=3,E125=4),VLOOKUP(G125,Szakmaszorzók!$B$2:$D$25,2,0),VLOOKUP(G125,Szakmaszorzók!$B$2:$D$25,3,0)))</f>
        <v>2.2000000000000002</v>
      </c>
      <c r="K125" s="173">
        <f>'Támogatás szorzat tényezői'!$C$2*'Támogatás szorzat tényezői'!$C$5*J125*(H125/1000)</f>
        <v>253440.00000000003</v>
      </c>
      <c r="L125" s="203" t="s">
        <v>2145</v>
      </c>
      <c r="M125" s="6">
        <f t="shared" si="10"/>
        <v>8</v>
      </c>
    </row>
    <row r="126" spans="1:13" ht="15.75" x14ac:dyDescent="0.25">
      <c r="A126" s="207">
        <v>111</v>
      </c>
      <c r="B126" s="6" t="s">
        <v>2421</v>
      </c>
      <c r="C126" s="204" t="s">
        <v>1644</v>
      </c>
      <c r="D126" s="204" t="str">
        <f t="shared" si="11"/>
        <v>0613</v>
      </c>
      <c r="E126" s="204" t="str">
        <f t="shared" si="12"/>
        <v>4</v>
      </c>
      <c r="F126" s="205" t="str">
        <f t="shared" si="13"/>
        <v>006</v>
      </c>
      <c r="G126" s="6" t="s">
        <v>1353</v>
      </c>
      <c r="H126" s="6">
        <v>320</v>
      </c>
      <c r="I126" s="6">
        <v>640</v>
      </c>
      <c r="J126" s="6">
        <f>IF(OR(G126="ágazaton kívüli",G126="n.a."),2.2,IF(OR(E126=2,E126=3,E126=4),VLOOKUP(G126,Szakmaszorzók!$B$2:$D$25,2,0),VLOOKUP(G126,Szakmaszorzók!$B$2:$D$25,3,0)))</f>
        <v>2.2000000000000002</v>
      </c>
      <c r="K126" s="173">
        <f>'Támogatás szorzat tényezői'!$C$2*'Támogatás szorzat tényezői'!$C$5*J126*(H126/1000)</f>
        <v>253440.00000000003</v>
      </c>
      <c r="L126" s="203" t="s">
        <v>2146</v>
      </c>
      <c r="M126" s="6">
        <f t="shared" si="10"/>
        <v>8</v>
      </c>
    </row>
    <row r="127" spans="1:13" ht="15.75" x14ac:dyDescent="0.25">
      <c r="A127" s="207">
        <v>112</v>
      </c>
      <c r="B127" s="6" t="s">
        <v>2422</v>
      </c>
      <c r="C127" s="204" t="s">
        <v>1645</v>
      </c>
      <c r="D127" s="204" t="str">
        <f t="shared" si="11"/>
        <v>0613</v>
      </c>
      <c r="E127" s="204" t="str">
        <f t="shared" si="12"/>
        <v>4</v>
      </c>
      <c r="F127" s="205" t="str">
        <f t="shared" si="13"/>
        <v>007</v>
      </c>
      <c r="G127" s="6" t="s">
        <v>1353</v>
      </c>
      <c r="H127" s="6">
        <v>320</v>
      </c>
      <c r="I127" s="6">
        <v>640</v>
      </c>
      <c r="J127" s="6">
        <f>IF(OR(G127="ágazaton kívüli",G127="n.a."),2.2,IF(OR(E127=2,E127=3,E127=4),VLOOKUP(G127,Szakmaszorzók!$B$2:$D$25,2,0),VLOOKUP(G127,Szakmaszorzók!$B$2:$D$25,3,0)))</f>
        <v>2.2000000000000002</v>
      </c>
      <c r="K127" s="173">
        <f>'Támogatás szorzat tényezői'!$C$2*'Támogatás szorzat tényezői'!$C$5*J127*(H127/1000)</f>
        <v>253440.00000000003</v>
      </c>
      <c r="L127" s="203" t="s">
        <v>2147</v>
      </c>
      <c r="M127" s="6">
        <f t="shared" si="10"/>
        <v>8</v>
      </c>
    </row>
    <row r="128" spans="1:13" ht="15.75" x14ac:dyDescent="0.25">
      <c r="A128" s="207">
        <v>84</v>
      </c>
      <c r="B128" s="6" t="s">
        <v>2655</v>
      </c>
      <c r="C128" s="204" t="s">
        <v>1680</v>
      </c>
      <c r="D128" s="204" t="str">
        <f t="shared" si="11"/>
        <v>0722</v>
      </c>
      <c r="E128" s="204" t="str">
        <f t="shared" si="12"/>
        <v>3</v>
      </c>
      <c r="F128" s="205" t="str">
        <f t="shared" si="13"/>
        <v>014</v>
      </c>
      <c r="G128" s="6" t="s">
        <v>1289</v>
      </c>
      <c r="H128" s="6">
        <v>820</v>
      </c>
      <c r="I128" s="6">
        <v>1250</v>
      </c>
      <c r="J128" s="6">
        <f>IF(OR(G128="ágazaton kívüli",G128="n.a."),2.2,IF(OR(E128=2,E128=3,E128=4),VLOOKUP(G128,Szakmaszorzók!$B$2:$D$25,2,0),VLOOKUP(G128,Szakmaszorzók!$B$2:$D$25,3,0)))</f>
        <v>2.42</v>
      </c>
      <c r="K128" s="173">
        <f>'Támogatás szorzat tényezői'!$C$2*'Támogatás szorzat tényezői'!$C$5*J128*(H128/1000)</f>
        <v>714384</v>
      </c>
      <c r="L128" s="203" t="s">
        <v>2119</v>
      </c>
      <c r="M128" s="6">
        <f t="shared" si="10"/>
        <v>8</v>
      </c>
    </row>
    <row r="129" spans="1:13" ht="15.75" x14ac:dyDescent="0.25">
      <c r="A129" s="207">
        <v>85</v>
      </c>
      <c r="B129" s="6" t="s">
        <v>2656</v>
      </c>
      <c r="C129" s="204" t="s">
        <v>1491</v>
      </c>
      <c r="D129" s="204" t="str">
        <f t="shared" si="11"/>
        <v>0722</v>
      </c>
      <c r="E129" s="204" t="str">
        <f t="shared" si="12"/>
        <v>3</v>
      </c>
      <c r="F129" s="205" t="str">
        <f t="shared" si="13"/>
        <v>009</v>
      </c>
      <c r="G129" s="6" t="s">
        <v>1280</v>
      </c>
      <c r="H129" s="6">
        <v>150</v>
      </c>
      <c r="I129" s="6">
        <v>250</v>
      </c>
      <c r="J129" s="6">
        <f>IF(OR(G129="ágazaton kívüli",G129="n.a."),2.2,IF(OR(E129=2,E129=3,E129=4),VLOOKUP(G129,Szakmaszorzók!$B$2:$D$25,2,0),VLOOKUP(G129,Szakmaszorzók!$B$2:$D$25,3,0)))</f>
        <v>2.85</v>
      </c>
      <c r="K129" s="173">
        <f>'Támogatás szorzat tényezői'!$C$2*'Támogatás szorzat tényezői'!$C$5*J129*(H129/1000)</f>
        <v>153900</v>
      </c>
      <c r="L129" s="203" t="s">
        <v>2120</v>
      </c>
      <c r="M129" s="6">
        <f t="shared" si="10"/>
        <v>8</v>
      </c>
    </row>
    <row r="130" spans="1:13" ht="15.75" x14ac:dyDescent="0.25">
      <c r="A130" s="207">
        <v>130</v>
      </c>
      <c r="B130" s="6" t="s">
        <v>2687</v>
      </c>
      <c r="C130" s="204" t="s">
        <v>1690</v>
      </c>
      <c r="D130" s="208" t="str">
        <f t="shared" si="11"/>
        <v>0799</v>
      </c>
      <c r="E130" s="208" t="str">
        <f t="shared" si="12"/>
        <v>3</v>
      </c>
      <c r="F130" s="209" t="str">
        <f t="shared" si="13"/>
        <v>005</v>
      </c>
      <c r="G130" s="6" t="s">
        <v>1282</v>
      </c>
      <c r="H130" s="6">
        <v>600</v>
      </c>
      <c r="I130" s="6">
        <v>650</v>
      </c>
      <c r="J130" s="6">
        <f>IF(OR(G130="ágazaton kívüli",G130="n.a."),2.2,IF(OR(E130=2,E130=3,E130=4),VLOOKUP(G130,Szakmaszorzók!$B$2:$D$25,2,0),VLOOKUP(G130,Szakmaszorzók!$B$2:$D$25,3,0)))</f>
        <v>2.42</v>
      </c>
      <c r="K130" s="173">
        <f>'Támogatás szorzat tényezői'!$C$2*'Támogatás szorzat tényezői'!$C$5*J130*(H130/1000)</f>
        <v>522720</v>
      </c>
      <c r="L130" s="203" t="s">
        <v>2165</v>
      </c>
      <c r="M130" s="6">
        <f t="shared" ref="M130:M193" si="14">LEN(C130)</f>
        <v>8</v>
      </c>
    </row>
    <row r="131" spans="1:13" ht="15.75" x14ac:dyDescent="0.25">
      <c r="A131" s="207">
        <v>207</v>
      </c>
      <c r="B131" s="6" t="s">
        <v>2707</v>
      </c>
      <c r="C131" s="204" t="s">
        <v>1625</v>
      </c>
      <c r="D131" s="208" t="str">
        <f t="shared" si="11"/>
        <v>0215</v>
      </c>
      <c r="E131" s="208" t="str">
        <f t="shared" si="12"/>
        <v>4</v>
      </c>
      <c r="F131" s="209" t="str">
        <f t="shared" si="13"/>
        <v>087</v>
      </c>
      <c r="G131" s="210" t="s">
        <v>1883</v>
      </c>
      <c r="H131" s="6">
        <v>1200</v>
      </c>
      <c r="I131" s="6">
        <v>1500</v>
      </c>
      <c r="J131" s="6">
        <f>IF(OR(G131="ágazaton kívüli",G131="n.a."),2.2,IF(OR(E131=2,E131=3,E131=4),VLOOKUP(G131,Szakmaszorzók!$B$2:$D$25,2,0),VLOOKUP(G131,Szakmaszorzók!$B$2:$D$25,3,0)))</f>
        <v>2.2000000000000002</v>
      </c>
      <c r="K131" s="173">
        <f>'Támogatás szorzat tényezői'!$C$2*'Támogatás szorzat tényezői'!$C$5*J131*(H131/1000)</f>
        <v>950400.00000000012</v>
      </c>
      <c r="L131" s="203" t="s">
        <v>2242</v>
      </c>
      <c r="M131" s="6">
        <f t="shared" si="14"/>
        <v>8</v>
      </c>
    </row>
    <row r="132" spans="1:13" ht="15.75" x14ac:dyDescent="0.25">
      <c r="A132" s="207">
        <v>208</v>
      </c>
      <c r="B132" s="6" t="s">
        <v>2708</v>
      </c>
      <c r="C132" s="204" t="s">
        <v>1623</v>
      </c>
      <c r="D132" s="208" t="str">
        <f t="shared" si="11"/>
        <v>0215</v>
      </c>
      <c r="E132" s="208" t="str">
        <f t="shared" si="12"/>
        <v>4</v>
      </c>
      <c r="F132" s="209" t="str">
        <f t="shared" si="13"/>
        <v>085</v>
      </c>
      <c r="G132" s="210" t="s">
        <v>1883</v>
      </c>
      <c r="H132" s="6">
        <v>900</v>
      </c>
      <c r="I132" s="6">
        <v>1200</v>
      </c>
      <c r="J132" s="6">
        <f>IF(OR(G132="ágazaton kívüli",G132="n.a."),2.2,IF(OR(E132=2,E132=3,E132=4),VLOOKUP(G132,Szakmaszorzók!$B$2:$D$25,2,0),VLOOKUP(G132,Szakmaszorzók!$B$2:$D$25,3,0)))</f>
        <v>2.2000000000000002</v>
      </c>
      <c r="K132" s="173">
        <f>'Támogatás szorzat tényezői'!$C$2*'Támogatás szorzat tényezői'!$C$5*J132*(H132/1000)</f>
        <v>712800.00000000012</v>
      </c>
      <c r="L132" s="203" t="s">
        <v>2243</v>
      </c>
      <c r="M132" s="6">
        <f t="shared" si="14"/>
        <v>8</v>
      </c>
    </row>
    <row r="133" spans="1:13" ht="15.75" x14ac:dyDescent="0.25">
      <c r="A133" s="207">
        <v>209</v>
      </c>
      <c r="B133" s="6" t="s">
        <v>2709</v>
      </c>
      <c r="C133" s="204" t="s">
        <v>1626</v>
      </c>
      <c r="D133" s="208" t="str">
        <f t="shared" si="11"/>
        <v>0215</v>
      </c>
      <c r="E133" s="208" t="str">
        <f t="shared" si="12"/>
        <v>4</v>
      </c>
      <c r="F133" s="209" t="str">
        <f t="shared" si="13"/>
        <v>088</v>
      </c>
      <c r="G133" s="210" t="s">
        <v>1883</v>
      </c>
      <c r="H133" s="6">
        <v>1200</v>
      </c>
      <c r="I133" s="6">
        <v>1500</v>
      </c>
      <c r="J133" s="6">
        <f>IF(OR(G133="ágazaton kívüli",G133="n.a."),2.2,IF(OR(E133=2,E133=3,E133=4),VLOOKUP(G133,Szakmaszorzók!$B$2:$D$25,2,0),VLOOKUP(G133,Szakmaszorzók!$B$2:$D$25,3,0)))</f>
        <v>2.2000000000000002</v>
      </c>
      <c r="K133" s="173">
        <f>'Támogatás szorzat tényezői'!$C$2*'Támogatás szorzat tényezői'!$C$5*J133*(H133/1000)</f>
        <v>950400.00000000012</v>
      </c>
      <c r="L133" s="203" t="s">
        <v>2244</v>
      </c>
      <c r="M133" s="6">
        <f t="shared" si="14"/>
        <v>8</v>
      </c>
    </row>
    <row r="134" spans="1:13" ht="15.75" x14ac:dyDescent="0.25">
      <c r="A134" s="207">
        <v>210</v>
      </c>
      <c r="B134" s="6" t="s">
        <v>2710</v>
      </c>
      <c r="C134" s="204" t="s">
        <v>1624</v>
      </c>
      <c r="D134" s="208" t="str">
        <f t="shared" si="11"/>
        <v>0215</v>
      </c>
      <c r="E134" s="208" t="str">
        <f t="shared" si="12"/>
        <v>4</v>
      </c>
      <c r="F134" s="209" t="str">
        <f t="shared" si="13"/>
        <v>086</v>
      </c>
      <c r="G134" s="210" t="s">
        <v>1883</v>
      </c>
      <c r="H134" s="6">
        <v>1200</v>
      </c>
      <c r="I134" s="6">
        <v>1500</v>
      </c>
      <c r="J134" s="6">
        <f>IF(OR(G134="ágazaton kívüli",G134="n.a."),2.2,IF(OR(E134=2,E134=3,E134=4),VLOOKUP(G134,Szakmaszorzók!$B$2:$D$25,2,0),VLOOKUP(G134,Szakmaszorzók!$B$2:$D$25,3,0)))</f>
        <v>2.2000000000000002</v>
      </c>
      <c r="K134" s="173">
        <f>'Támogatás szorzat tényezői'!$C$2*'Támogatás szorzat tényezői'!$C$5*J134*(H134/1000)</f>
        <v>950400.00000000012</v>
      </c>
      <c r="L134" s="203" t="s">
        <v>2245</v>
      </c>
      <c r="M134" s="6">
        <f t="shared" si="14"/>
        <v>8</v>
      </c>
    </row>
    <row r="135" spans="1:13" ht="15.75" x14ac:dyDescent="0.25">
      <c r="A135" s="207">
        <v>211</v>
      </c>
      <c r="B135" s="6" t="s">
        <v>2711</v>
      </c>
      <c r="C135" s="204" t="s">
        <v>1627</v>
      </c>
      <c r="D135" s="208" t="str">
        <f t="shared" si="11"/>
        <v>0215</v>
      </c>
      <c r="E135" s="208" t="str">
        <f t="shared" si="12"/>
        <v>4</v>
      </c>
      <c r="F135" s="209" t="str">
        <f t="shared" si="13"/>
        <v>089</v>
      </c>
      <c r="G135" s="210" t="s">
        <v>1883</v>
      </c>
      <c r="H135" s="6">
        <v>600</v>
      </c>
      <c r="I135" s="6">
        <v>900</v>
      </c>
      <c r="J135" s="6">
        <f>IF(OR(G135="ágazaton kívüli",G135="n.a."),2.2,IF(OR(E135=2,E135=3,E135=4),VLOOKUP(G135,Szakmaszorzók!$B$2:$D$25,2,0),VLOOKUP(G135,Szakmaszorzók!$B$2:$D$25,3,0)))</f>
        <v>2.2000000000000002</v>
      </c>
      <c r="K135" s="173">
        <f>'Támogatás szorzat tényezői'!$C$2*'Támogatás szorzat tényezői'!$C$5*J135*(H135/1000)</f>
        <v>475200.00000000006</v>
      </c>
      <c r="L135" s="203" t="s">
        <v>2246</v>
      </c>
      <c r="M135" s="6">
        <f t="shared" si="14"/>
        <v>8</v>
      </c>
    </row>
    <row r="136" spans="1:13" ht="15.75" x14ac:dyDescent="0.25">
      <c r="A136" s="207">
        <v>350</v>
      </c>
      <c r="B136" s="6" t="s">
        <v>2573</v>
      </c>
      <c r="C136" s="204">
        <v>10324006</v>
      </c>
      <c r="D136" s="204" t="str">
        <f t="shared" si="11"/>
        <v>1032</v>
      </c>
      <c r="E136" s="204" t="str">
        <f t="shared" si="12"/>
        <v>4</v>
      </c>
      <c r="F136" s="205" t="str">
        <f t="shared" si="13"/>
        <v>006</v>
      </c>
      <c r="G136" s="6" t="s">
        <v>1373</v>
      </c>
      <c r="H136" s="6">
        <v>350</v>
      </c>
      <c r="I136" s="6">
        <v>450</v>
      </c>
      <c r="J136" s="6">
        <f>IF(OR(G136="ágazaton kívüli",G136="n.a."),2.2,IF(OR(E136=2,E136=3,E136=4),VLOOKUP(G136,Szakmaszorzók!$B$2:$D$25,2,0),VLOOKUP(G136,Szakmaszorzók!$B$2:$D$25,3,0)))</f>
        <v>2.2000000000000002</v>
      </c>
      <c r="K136" s="173">
        <f>'Támogatás szorzat tényezői'!$C$2*'Támogatás szorzat tényezői'!$C$5*J136*(H136/1000)</f>
        <v>277200</v>
      </c>
      <c r="L136" s="203" t="s">
        <v>2385</v>
      </c>
      <c r="M136" s="6">
        <f t="shared" si="14"/>
        <v>8</v>
      </c>
    </row>
    <row r="137" spans="1:13" ht="15.75" x14ac:dyDescent="0.25">
      <c r="A137" s="207">
        <v>351</v>
      </c>
      <c r="B137" s="6" t="s">
        <v>2526</v>
      </c>
      <c r="C137" s="204">
        <v>10326004</v>
      </c>
      <c r="D137" s="204" t="str">
        <f t="shared" si="11"/>
        <v>1032</v>
      </c>
      <c r="E137" s="204" t="str">
        <f t="shared" si="12"/>
        <v>6</v>
      </c>
      <c r="F137" s="205" t="str">
        <f t="shared" si="13"/>
        <v>004</v>
      </c>
      <c r="G137" s="6" t="s">
        <v>1373</v>
      </c>
      <c r="H137" s="6">
        <v>700</v>
      </c>
      <c r="I137" s="6">
        <v>1200</v>
      </c>
      <c r="J137" s="6">
        <f>IF(OR(G137="ágazaton kívüli",G137="n.a."),2.2,IF(OR(E137=2,E137=3,E137=4),VLOOKUP(G137,Szakmaszorzók!$B$2:$D$25,2,0),VLOOKUP(G137,Szakmaszorzók!$B$2:$D$25,3,0)))</f>
        <v>2.2000000000000002</v>
      </c>
      <c r="K137" s="173">
        <f>'Támogatás szorzat tényezői'!$C$2*'Támogatás szorzat tényezői'!$C$5*J137*(H137/1000)</f>
        <v>554400</v>
      </c>
      <c r="L137" s="203" t="s">
        <v>2386</v>
      </c>
      <c r="M137" s="6">
        <f t="shared" si="14"/>
        <v>8</v>
      </c>
    </row>
    <row r="138" spans="1:13" ht="15.75" x14ac:dyDescent="0.25">
      <c r="A138" s="207">
        <v>352</v>
      </c>
      <c r="B138" s="6" t="s">
        <v>2527</v>
      </c>
      <c r="C138" s="204">
        <v>10324007</v>
      </c>
      <c r="D138" s="204" t="str">
        <f t="shared" si="11"/>
        <v>1032</v>
      </c>
      <c r="E138" s="204" t="str">
        <f t="shared" si="12"/>
        <v>4</v>
      </c>
      <c r="F138" s="205" t="str">
        <f t="shared" si="13"/>
        <v>007</v>
      </c>
      <c r="G138" s="6" t="s">
        <v>1373</v>
      </c>
      <c r="H138" s="6">
        <v>240</v>
      </c>
      <c r="I138" s="6">
        <v>340</v>
      </c>
      <c r="J138" s="6">
        <f>IF(OR(G138="ágazaton kívüli",G138="n.a."),2.2,IF(OR(E138=2,E138=3,E138=4),VLOOKUP(G138,Szakmaszorzók!$B$2:$D$25,2,0),VLOOKUP(G138,Szakmaszorzók!$B$2:$D$25,3,0)))</f>
        <v>2.2000000000000002</v>
      </c>
      <c r="K138" s="173">
        <f>'Támogatás szorzat tényezői'!$C$2*'Támogatás szorzat tényezői'!$C$5*J138*(H138/1000)</f>
        <v>190080.00000000003</v>
      </c>
      <c r="L138" s="203" t="s">
        <v>2387</v>
      </c>
      <c r="M138" s="6">
        <f t="shared" si="14"/>
        <v>8</v>
      </c>
    </row>
    <row r="139" spans="1:13" ht="15.75" x14ac:dyDescent="0.25">
      <c r="A139" s="207">
        <v>16</v>
      </c>
      <c r="B139" s="6" t="s">
        <v>2589</v>
      </c>
      <c r="C139" s="204" t="s">
        <v>1659</v>
      </c>
      <c r="D139" s="204" t="str">
        <f t="shared" si="11"/>
        <v>0713</v>
      </c>
      <c r="E139" s="204" t="str">
        <f t="shared" si="12"/>
        <v>3</v>
      </c>
      <c r="F139" s="205" t="str">
        <f t="shared" si="13"/>
        <v>020</v>
      </c>
      <c r="G139" s="6" t="s">
        <v>1301</v>
      </c>
      <c r="H139" s="6">
        <v>200</v>
      </c>
      <c r="I139" s="6">
        <v>300</v>
      </c>
      <c r="J139" s="6">
        <f>IF(OR(G139="ágazaton kívüli",G139="n.a."),2.2,IF(OR(E139=2,E139=3,E139=4),VLOOKUP(G139,Szakmaszorzók!$B$2:$D$25,2,0),VLOOKUP(G139,Szakmaszorzók!$B$2:$D$25,3,0)))</f>
        <v>2.85</v>
      </c>
      <c r="K139" s="173">
        <f>'Támogatás szorzat tényezői'!$C$2*'Támogatás szorzat tényezői'!$C$5*J139*(H139/1000)</f>
        <v>205200</v>
      </c>
      <c r="L139" s="203" t="s">
        <v>2051</v>
      </c>
      <c r="M139" s="6">
        <f t="shared" si="14"/>
        <v>8</v>
      </c>
    </row>
    <row r="140" spans="1:13" ht="15.75" x14ac:dyDescent="0.25">
      <c r="A140" s="207">
        <v>17</v>
      </c>
      <c r="B140" s="6" t="s">
        <v>2590</v>
      </c>
      <c r="C140" s="204" t="s">
        <v>1661</v>
      </c>
      <c r="D140" s="204" t="str">
        <f t="shared" si="11"/>
        <v>0713</v>
      </c>
      <c r="E140" s="204" t="str">
        <f t="shared" si="12"/>
        <v>3</v>
      </c>
      <c r="F140" s="205" t="str">
        <f t="shared" si="13"/>
        <v>022</v>
      </c>
      <c r="G140" s="6" t="s">
        <v>1301</v>
      </c>
      <c r="H140" s="6">
        <v>200</v>
      </c>
      <c r="I140" s="6">
        <v>300</v>
      </c>
      <c r="J140" s="6">
        <f>IF(OR(G140="ágazaton kívüli",G140="n.a."),2.2,IF(OR(E140=2,E140=3,E140=4),VLOOKUP(G140,Szakmaszorzók!$B$2:$D$25,2,0),VLOOKUP(G140,Szakmaszorzók!$B$2:$D$25,3,0)))</f>
        <v>2.85</v>
      </c>
      <c r="K140" s="173">
        <f>'Támogatás szorzat tényezői'!$C$2*'Támogatás szorzat tényezői'!$C$5*J140*(H140/1000)</f>
        <v>205200</v>
      </c>
      <c r="L140" s="203" t="s">
        <v>2052</v>
      </c>
      <c r="M140" s="6">
        <f t="shared" si="14"/>
        <v>8</v>
      </c>
    </row>
    <row r="141" spans="1:13" ht="15.75" x14ac:dyDescent="0.25">
      <c r="A141" s="207">
        <v>269</v>
      </c>
      <c r="B141" s="6" t="s">
        <v>2714</v>
      </c>
      <c r="C141" s="204">
        <v>10113002</v>
      </c>
      <c r="D141" s="204" t="str">
        <f t="shared" si="11"/>
        <v>1011</v>
      </c>
      <c r="E141" s="204" t="str">
        <f t="shared" si="12"/>
        <v>3</v>
      </c>
      <c r="F141" s="205" t="str">
        <f t="shared" si="13"/>
        <v>002</v>
      </c>
      <c r="G141" s="6" t="s">
        <v>1373</v>
      </c>
      <c r="H141" s="6">
        <v>800</v>
      </c>
      <c r="I141" s="6">
        <v>1000</v>
      </c>
      <c r="J141" s="6">
        <f>IF(OR(G141="ágazaton kívüli",G141="n.a."),2.2,IF(OR(E141=2,E141=3,E141=4),VLOOKUP(G141,Szakmaszorzók!$B$2:$D$25,2,0),VLOOKUP(G141,Szakmaszorzók!$B$2:$D$25,3,0)))</f>
        <v>2.2000000000000002</v>
      </c>
      <c r="K141" s="173">
        <f>'Támogatás szorzat tényezői'!$C$2*'Támogatás szorzat tényezői'!$C$5*J141*(H141/1000)</f>
        <v>633600.00000000012</v>
      </c>
      <c r="L141" s="203" t="s">
        <v>2304</v>
      </c>
      <c r="M141" s="6">
        <f t="shared" si="14"/>
        <v>8</v>
      </c>
    </row>
    <row r="142" spans="1:13" ht="15.75" x14ac:dyDescent="0.25">
      <c r="A142" s="207">
        <v>139</v>
      </c>
      <c r="B142" s="6" t="s">
        <v>2539</v>
      </c>
      <c r="C142" s="204" t="s">
        <v>1492</v>
      </c>
      <c r="D142" s="208" t="str">
        <f t="shared" si="11"/>
        <v>0213</v>
      </c>
      <c r="E142" s="208" t="str">
        <f t="shared" si="12"/>
        <v>4</v>
      </c>
      <c r="F142" s="209" t="str">
        <f t="shared" si="13"/>
        <v>001</v>
      </c>
      <c r="G142" s="210" t="s">
        <v>1883</v>
      </c>
      <c r="H142" s="6">
        <v>900</v>
      </c>
      <c r="I142" s="6">
        <v>2222</v>
      </c>
      <c r="J142" s="6">
        <f>IF(OR(G142="ágazaton kívüli",G142="n.a."),2.2,IF(OR(E142=2,E142=3,E142=4),VLOOKUP(G142,Szakmaszorzók!$B$2:$D$25,2,0),VLOOKUP(G142,Szakmaszorzók!$B$2:$D$25,3,0)))</f>
        <v>2.2000000000000002</v>
      </c>
      <c r="K142" s="173">
        <f>'Támogatás szorzat tényezői'!$C$2*'Támogatás szorzat tényezői'!$C$5*J142*(H142/1000)</f>
        <v>712800.00000000012</v>
      </c>
      <c r="L142" s="203" t="s">
        <v>2174</v>
      </c>
      <c r="M142" s="6">
        <f t="shared" si="14"/>
        <v>8</v>
      </c>
    </row>
    <row r="143" spans="1:13" ht="15.75" x14ac:dyDescent="0.25">
      <c r="A143" s="207">
        <v>140</v>
      </c>
      <c r="B143" s="6" t="s">
        <v>2426</v>
      </c>
      <c r="C143" s="204" t="s">
        <v>1493</v>
      </c>
      <c r="D143" s="208" t="str">
        <f t="shared" si="11"/>
        <v>0213</v>
      </c>
      <c r="E143" s="208" t="str">
        <f t="shared" si="12"/>
        <v>4</v>
      </c>
      <c r="F143" s="209" t="str">
        <f t="shared" si="13"/>
        <v>002</v>
      </c>
      <c r="G143" s="210" t="s">
        <v>1883</v>
      </c>
      <c r="H143" s="6">
        <v>900</v>
      </c>
      <c r="I143" s="6">
        <v>1300</v>
      </c>
      <c r="J143" s="6">
        <f>IF(OR(G143="ágazaton kívüli",G143="n.a."),2.2,IF(OR(E143=2,E143=3,E143=4),VLOOKUP(G143,Szakmaszorzók!$B$2:$D$25,2,0),VLOOKUP(G143,Szakmaszorzók!$B$2:$D$25,3,0)))</f>
        <v>2.2000000000000002</v>
      </c>
      <c r="K143" s="173">
        <f>'Támogatás szorzat tényezői'!$C$2*'Támogatás szorzat tényezői'!$C$5*J143*(H143/1000)</f>
        <v>712800.00000000012</v>
      </c>
      <c r="L143" s="203" t="s">
        <v>2175</v>
      </c>
      <c r="M143" s="6">
        <f t="shared" si="14"/>
        <v>8</v>
      </c>
    </row>
    <row r="144" spans="1:13" ht="15.75" x14ac:dyDescent="0.25">
      <c r="A144" s="207">
        <v>141</v>
      </c>
      <c r="B144" s="6" t="s">
        <v>2427</v>
      </c>
      <c r="C144" s="204" t="s">
        <v>1494</v>
      </c>
      <c r="D144" s="208" t="str">
        <f t="shared" si="11"/>
        <v>0213</v>
      </c>
      <c r="E144" s="208" t="str">
        <f t="shared" si="12"/>
        <v>4</v>
      </c>
      <c r="F144" s="209" t="str">
        <f t="shared" si="13"/>
        <v>003</v>
      </c>
      <c r="G144" s="210" t="s">
        <v>1883</v>
      </c>
      <c r="H144" s="6">
        <v>900</v>
      </c>
      <c r="I144" s="6">
        <v>1300</v>
      </c>
      <c r="J144" s="6">
        <f>IF(OR(G144="ágazaton kívüli",G144="n.a."),2.2,IF(OR(E144=2,E144=3,E144=4),VLOOKUP(G144,Szakmaszorzók!$B$2:$D$25,2,0),VLOOKUP(G144,Szakmaszorzók!$B$2:$D$25,3,0)))</f>
        <v>2.2000000000000002</v>
      </c>
      <c r="K144" s="173">
        <f>'Támogatás szorzat tényezői'!$C$2*'Támogatás szorzat tényezői'!$C$5*J144*(H144/1000)</f>
        <v>712800.00000000012</v>
      </c>
      <c r="L144" s="203" t="s">
        <v>2176</v>
      </c>
      <c r="M144" s="6">
        <f t="shared" si="14"/>
        <v>8</v>
      </c>
    </row>
    <row r="145" spans="1:13" ht="15.75" x14ac:dyDescent="0.25">
      <c r="A145" s="207">
        <v>142</v>
      </c>
      <c r="B145" s="6" t="s">
        <v>2428</v>
      </c>
      <c r="C145" s="204" t="s">
        <v>1495</v>
      </c>
      <c r="D145" s="208" t="str">
        <f t="shared" si="11"/>
        <v>0213</v>
      </c>
      <c r="E145" s="208" t="str">
        <f t="shared" si="12"/>
        <v>4</v>
      </c>
      <c r="F145" s="209" t="str">
        <f t="shared" si="13"/>
        <v>004</v>
      </c>
      <c r="G145" s="210" t="s">
        <v>1883</v>
      </c>
      <c r="H145" s="6">
        <v>900</v>
      </c>
      <c r="I145" s="6">
        <v>1300</v>
      </c>
      <c r="J145" s="6">
        <f>IF(OR(G145="ágazaton kívüli",G145="n.a."),2.2,IF(OR(E145=2,E145=3,E145=4),VLOOKUP(G145,Szakmaszorzók!$B$2:$D$25,2,0),VLOOKUP(G145,Szakmaszorzók!$B$2:$D$25,3,0)))</f>
        <v>2.2000000000000002</v>
      </c>
      <c r="K145" s="173">
        <f>'Támogatás szorzat tényezői'!$C$2*'Támogatás szorzat tényezői'!$C$5*J145*(H145/1000)</f>
        <v>712800.00000000012</v>
      </c>
      <c r="L145" s="203" t="s">
        <v>2177</v>
      </c>
      <c r="M145" s="6">
        <f t="shared" si="14"/>
        <v>8</v>
      </c>
    </row>
    <row r="146" spans="1:13" ht="15.75" x14ac:dyDescent="0.25">
      <c r="A146" s="207">
        <v>143</v>
      </c>
      <c r="B146" s="6" t="s">
        <v>2429</v>
      </c>
      <c r="C146" s="204" t="s">
        <v>1496</v>
      </c>
      <c r="D146" s="208" t="str">
        <f t="shared" si="11"/>
        <v>0213</v>
      </c>
      <c r="E146" s="208" t="str">
        <f t="shared" si="12"/>
        <v>4</v>
      </c>
      <c r="F146" s="209" t="str">
        <f t="shared" si="13"/>
        <v>005</v>
      </c>
      <c r="G146" s="210" t="s">
        <v>1883</v>
      </c>
      <c r="H146" s="6">
        <v>900</v>
      </c>
      <c r="I146" s="6">
        <v>1300</v>
      </c>
      <c r="J146" s="6">
        <f>IF(OR(G146="ágazaton kívüli",G146="n.a."),2.2,IF(OR(E146=2,E146=3,E146=4),VLOOKUP(G146,Szakmaszorzók!$B$2:$D$25,2,0),VLOOKUP(G146,Szakmaszorzók!$B$2:$D$25,3,0)))</f>
        <v>2.2000000000000002</v>
      </c>
      <c r="K146" s="173">
        <f>'Támogatás szorzat tényezői'!$C$2*'Támogatás szorzat tényezői'!$C$5*J146*(H146/1000)</f>
        <v>712800.00000000012</v>
      </c>
      <c r="L146" s="203" t="s">
        <v>2178</v>
      </c>
      <c r="M146" s="6">
        <f t="shared" si="14"/>
        <v>8</v>
      </c>
    </row>
    <row r="147" spans="1:13" ht="15.75" x14ac:dyDescent="0.25">
      <c r="A147" s="207">
        <v>144</v>
      </c>
      <c r="B147" s="6" t="s">
        <v>2430</v>
      </c>
      <c r="C147" s="204" t="s">
        <v>1497</v>
      </c>
      <c r="D147" s="208" t="str">
        <f t="shared" si="11"/>
        <v>0213</v>
      </c>
      <c r="E147" s="208" t="str">
        <f t="shared" si="12"/>
        <v>4</v>
      </c>
      <c r="F147" s="209" t="str">
        <f t="shared" si="13"/>
        <v>006</v>
      </c>
      <c r="G147" s="210" t="s">
        <v>1883</v>
      </c>
      <c r="H147" s="6">
        <v>900</v>
      </c>
      <c r="I147" s="6">
        <v>1300</v>
      </c>
      <c r="J147" s="6">
        <f>IF(OR(G147="ágazaton kívüli",G147="n.a."),2.2,IF(OR(E147=2,E147=3,E147=4),VLOOKUP(G147,Szakmaszorzók!$B$2:$D$25,2,0),VLOOKUP(G147,Szakmaszorzók!$B$2:$D$25,3,0)))</f>
        <v>2.2000000000000002</v>
      </c>
      <c r="K147" s="173">
        <f>'Támogatás szorzat tényezői'!$C$2*'Támogatás szorzat tényezői'!$C$5*J147*(H147/1000)</f>
        <v>712800.00000000012</v>
      </c>
      <c r="L147" s="203" t="s">
        <v>2179</v>
      </c>
      <c r="M147" s="6">
        <f t="shared" si="14"/>
        <v>8</v>
      </c>
    </row>
    <row r="148" spans="1:13" ht="15.75" x14ac:dyDescent="0.25">
      <c r="A148" s="207">
        <v>145</v>
      </c>
      <c r="B148" s="6" t="s">
        <v>2431</v>
      </c>
      <c r="C148" s="204" t="s">
        <v>1498</v>
      </c>
      <c r="D148" s="208" t="str">
        <f t="shared" si="11"/>
        <v>0213</v>
      </c>
      <c r="E148" s="208" t="str">
        <f t="shared" si="12"/>
        <v>4</v>
      </c>
      <c r="F148" s="209" t="str">
        <f t="shared" si="13"/>
        <v>007</v>
      </c>
      <c r="G148" s="210" t="s">
        <v>1883</v>
      </c>
      <c r="H148" s="6">
        <v>910</v>
      </c>
      <c r="I148" s="6">
        <v>1490</v>
      </c>
      <c r="J148" s="6">
        <f>IF(OR(G148="ágazaton kívüli",G148="n.a."),2.2,IF(OR(E148=2,E148=3,E148=4),VLOOKUP(G148,Szakmaszorzók!$B$2:$D$25,2,0),VLOOKUP(G148,Szakmaszorzók!$B$2:$D$25,3,0)))</f>
        <v>2.2000000000000002</v>
      </c>
      <c r="K148" s="173">
        <f>'Támogatás szorzat tényezői'!$C$2*'Támogatás szorzat tényezői'!$C$5*J148*(H148/1000)</f>
        <v>720720.00000000012</v>
      </c>
      <c r="L148" s="203" t="s">
        <v>2180</v>
      </c>
      <c r="M148" s="6">
        <f t="shared" si="14"/>
        <v>8</v>
      </c>
    </row>
    <row r="149" spans="1:13" ht="15.75" x14ac:dyDescent="0.25">
      <c r="A149" s="207">
        <v>146</v>
      </c>
      <c r="B149" s="6" t="s">
        <v>2540</v>
      </c>
      <c r="C149" s="204" t="s">
        <v>1499</v>
      </c>
      <c r="D149" s="208" t="str">
        <f t="shared" si="11"/>
        <v>0213</v>
      </c>
      <c r="E149" s="208" t="str">
        <f t="shared" si="12"/>
        <v>4</v>
      </c>
      <c r="F149" s="209" t="str">
        <f t="shared" si="13"/>
        <v>008</v>
      </c>
      <c r="G149" s="210" t="s">
        <v>1883</v>
      </c>
      <c r="H149" s="6">
        <v>900</v>
      </c>
      <c r="I149" s="6">
        <v>1300</v>
      </c>
      <c r="J149" s="6">
        <f>IF(OR(G149="ágazaton kívüli",G149="n.a."),2.2,IF(OR(E149=2,E149=3,E149=4),VLOOKUP(G149,Szakmaszorzók!$B$2:$D$25,2,0),VLOOKUP(G149,Szakmaszorzók!$B$2:$D$25,3,0)))</f>
        <v>2.2000000000000002</v>
      </c>
      <c r="K149" s="173">
        <f>'Támogatás szorzat tényezői'!$C$2*'Támogatás szorzat tényezői'!$C$5*J149*(H149/1000)</f>
        <v>712800.00000000012</v>
      </c>
      <c r="L149" s="203" t="s">
        <v>2181</v>
      </c>
      <c r="M149" s="6">
        <f t="shared" si="14"/>
        <v>8</v>
      </c>
    </row>
    <row r="150" spans="1:13" ht="15.75" x14ac:dyDescent="0.25">
      <c r="A150" s="207">
        <v>147</v>
      </c>
      <c r="B150" s="6" t="s">
        <v>2432</v>
      </c>
      <c r="C150" s="204" t="s">
        <v>1500</v>
      </c>
      <c r="D150" s="208" t="str">
        <f t="shared" si="11"/>
        <v>0213</v>
      </c>
      <c r="E150" s="208" t="str">
        <f t="shared" si="12"/>
        <v>4</v>
      </c>
      <c r="F150" s="209" t="str">
        <f t="shared" si="13"/>
        <v>009</v>
      </c>
      <c r="G150" s="210" t="s">
        <v>1883</v>
      </c>
      <c r="H150" s="6">
        <v>900</v>
      </c>
      <c r="I150" s="6">
        <v>1300</v>
      </c>
      <c r="J150" s="6">
        <f>IF(OR(G150="ágazaton kívüli",G150="n.a."),2.2,IF(OR(E150=2,E150=3,E150=4),VLOOKUP(G150,Szakmaszorzók!$B$2:$D$25,2,0),VLOOKUP(G150,Szakmaszorzók!$B$2:$D$25,3,0)))</f>
        <v>2.2000000000000002</v>
      </c>
      <c r="K150" s="173">
        <f>'Támogatás szorzat tényezői'!$C$2*'Támogatás szorzat tényezői'!$C$5*J150*(H150/1000)</f>
        <v>712800.00000000012</v>
      </c>
      <c r="L150" s="203" t="s">
        <v>2182</v>
      </c>
      <c r="M150" s="6">
        <f t="shared" si="14"/>
        <v>8</v>
      </c>
    </row>
    <row r="151" spans="1:13" ht="15.75" x14ac:dyDescent="0.25">
      <c r="A151" s="207">
        <v>148</v>
      </c>
      <c r="B151" s="6" t="s">
        <v>2433</v>
      </c>
      <c r="C151" s="204" t="s">
        <v>1501</v>
      </c>
      <c r="D151" s="208" t="str">
        <f t="shared" si="11"/>
        <v>0213</v>
      </c>
      <c r="E151" s="208" t="str">
        <f t="shared" si="12"/>
        <v>4</v>
      </c>
      <c r="F151" s="209" t="str">
        <f t="shared" si="13"/>
        <v>010</v>
      </c>
      <c r="G151" s="210" t="s">
        <v>1883</v>
      </c>
      <c r="H151" s="6">
        <v>900</v>
      </c>
      <c r="I151" s="6">
        <v>1300</v>
      </c>
      <c r="J151" s="6">
        <f>IF(OR(G151="ágazaton kívüli",G151="n.a."),2.2,IF(OR(E151=2,E151=3,E151=4),VLOOKUP(G151,Szakmaszorzók!$B$2:$D$25,2,0),VLOOKUP(G151,Szakmaszorzók!$B$2:$D$25,3,0)))</f>
        <v>2.2000000000000002</v>
      </c>
      <c r="K151" s="173">
        <f>'Támogatás szorzat tényezői'!$C$2*'Támogatás szorzat tényezői'!$C$5*J151*(H151/1000)</f>
        <v>712800.00000000012</v>
      </c>
      <c r="L151" s="203" t="s">
        <v>2183</v>
      </c>
      <c r="M151" s="6">
        <f t="shared" si="14"/>
        <v>8</v>
      </c>
    </row>
    <row r="152" spans="1:13" ht="15.75" x14ac:dyDescent="0.25">
      <c r="A152" s="207">
        <v>38</v>
      </c>
      <c r="B152" s="6" t="s">
        <v>2611</v>
      </c>
      <c r="C152" s="204" t="s">
        <v>1673</v>
      </c>
      <c r="D152" s="204" t="str">
        <f t="shared" si="11"/>
        <v>0715</v>
      </c>
      <c r="E152" s="204" t="str">
        <f t="shared" si="12"/>
        <v>3</v>
      </c>
      <c r="F152" s="205" t="str">
        <f t="shared" si="13"/>
        <v>008</v>
      </c>
      <c r="G152" s="6" t="s">
        <v>1287</v>
      </c>
      <c r="H152" s="6">
        <v>500</v>
      </c>
      <c r="I152" s="6">
        <v>700</v>
      </c>
      <c r="J152" s="6">
        <f>IF(OR(G152="ágazaton kívüli",G152="n.a."),2.2,IF(OR(E152=2,E152=3,E152=4),VLOOKUP(G152,Szakmaszorzók!$B$2:$D$25,2,0),VLOOKUP(G152,Szakmaszorzók!$B$2:$D$25,3,0)))</f>
        <v>2.85</v>
      </c>
      <c r="K152" s="173">
        <f>'Támogatás szorzat tényezői'!$C$2*'Támogatás szorzat tényezői'!$C$5*J152*(H152/1000)</f>
        <v>513000</v>
      </c>
      <c r="L152" s="203" t="s">
        <v>2073</v>
      </c>
      <c r="M152" s="6">
        <f t="shared" si="14"/>
        <v>8</v>
      </c>
    </row>
    <row r="153" spans="1:13" ht="15.75" x14ac:dyDescent="0.25">
      <c r="A153" s="207">
        <v>18</v>
      </c>
      <c r="B153" s="6" t="s">
        <v>2591</v>
      </c>
      <c r="C153" s="204" t="s">
        <v>1662</v>
      </c>
      <c r="D153" s="204" t="str">
        <f t="shared" si="11"/>
        <v>0713</v>
      </c>
      <c r="E153" s="204" t="str">
        <f t="shared" si="12"/>
        <v>4</v>
      </c>
      <c r="F153" s="205" t="str">
        <f t="shared" si="13"/>
        <v>023</v>
      </c>
      <c r="G153" s="6" t="s">
        <v>1290</v>
      </c>
      <c r="H153" s="6">
        <v>800</v>
      </c>
      <c r="I153" s="6">
        <v>1200</v>
      </c>
      <c r="J153" s="6">
        <f>IF(OR(G153="ágazaton kívüli",G153="n.a."),2.2,IF(OR(E153=2,E153=3,E153=4),VLOOKUP(G153,Szakmaszorzók!$B$2:$D$25,2,0),VLOOKUP(G153,Szakmaszorzók!$B$2:$D$25,3,0)))</f>
        <v>2.85</v>
      </c>
      <c r="K153" s="173">
        <f>'Támogatás szorzat tényezői'!$C$2*'Támogatás szorzat tényezői'!$C$5*J153*(H153/1000)</f>
        <v>820800</v>
      </c>
      <c r="L153" s="203" t="s">
        <v>2053</v>
      </c>
      <c r="M153" s="6">
        <f t="shared" si="14"/>
        <v>8</v>
      </c>
    </row>
    <row r="154" spans="1:13" ht="15.75" x14ac:dyDescent="0.25">
      <c r="A154" s="207">
        <v>91</v>
      </c>
      <c r="B154" s="6" t="s">
        <v>2662</v>
      </c>
      <c r="C154" s="204" t="s">
        <v>1682</v>
      </c>
      <c r="D154" s="204" t="str">
        <f t="shared" si="11"/>
        <v>0729</v>
      </c>
      <c r="E154" s="204" t="str">
        <f t="shared" si="12"/>
        <v>4</v>
      </c>
      <c r="F154" s="205" t="str">
        <f t="shared" si="13"/>
        <v>001</v>
      </c>
      <c r="G154" s="6" t="s">
        <v>1316</v>
      </c>
      <c r="H154" s="6">
        <v>320</v>
      </c>
      <c r="I154" s="6">
        <v>480</v>
      </c>
      <c r="J154" s="6">
        <f>IF(OR(G154="ágazaton kívüli",G154="n.a."),2.2,IF(OR(E154=2,E154=3,E154=4),VLOOKUP(G154,Szakmaszorzók!$B$2:$D$25,2,0),VLOOKUP(G154,Szakmaszorzók!$B$2:$D$25,3,0)))</f>
        <v>2.85</v>
      </c>
      <c r="K154" s="173">
        <f>'Támogatás szorzat tényezői'!$C$2*'Támogatás szorzat tényezői'!$C$5*J154*(H154/1000)</f>
        <v>328320</v>
      </c>
      <c r="L154" s="203" t="s">
        <v>2126</v>
      </c>
      <c r="M154" s="6">
        <f t="shared" si="14"/>
        <v>8</v>
      </c>
    </row>
    <row r="155" spans="1:13" ht="15.75" x14ac:dyDescent="0.25">
      <c r="A155" s="207">
        <v>319</v>
      </c>
      <c r="B155" s="6" t="s">
        <v>2746</v>
      </c>
      <c r="C155" s="204">
        <v>10315001</v>
      </c>
      <c r="D155" s="204" t="str">
        <f t="shared" si="11"/>
        <v>1031</v>
      </c>
      <c r="E155" s="204" t="str">
        <f t="shared" si="12"/>
        <v>5</v>
      </c>
      <c r="F155" s="205" t="str">
        <f t="shared" si="13"/>
        <v>001</v>
      </c>
      <c r="G155" s="6" t="s">
        <v>1321</v>
      </c>
      <c r="H155" s="6">
        <v>640</v>
      </c>
      <c r="I155" s="6">
        <v>720</v>
      </c>
      <c r="J155" s="6">
        <f>IF(OR(G155="ágazaton kívüli",G155="n.a."),2.2,IF(OR(E155=2,E155=3,E155=4),VLOOKUP(G155,Szakmaszorzók!$B$2:$D$25,2,0),VLOOKUP(G155,Szakmaszorzók!$B$2:$D$25,3,0)))</f>
        <v>2.85</v>
      </c>
      <c r="K155" s="173">
        <f>'Támogatás szorzat tényezői'!$C$2*'Támogatás szorzat tényezői'!$C$5*J155*(H155/1000)</f>
        <v>656640</v>
      </c>
      <c r="L155" s="203" t="s">
        <v>2354</v>
      </c>
      <c r="M155" s="6">
        <f t="shared" si="14"/>
        <v>8</v>
      </c>
    </row>
    <row r="156" spans="1:13" ht="15.75" x14ac:dyDescent="0.25">
      <c r="A156" s="207">
        <v>320</v>
      </c>
      <c r="B156" s="6" t="s">
        <v>2747</v>
      </c>
      <c r="C156" s="204">
        <v>10315007</v>
      </c>
      <c r="D156" s="204" t="str">
        <f t="shared" si="11"/>
        <v>1031</v>
      </c>
      <c r="E156" s="204" t="str">
        <f t="shared" si="12"/>
        <v>5</v>
      </c>
      <c r="F156" s="205" t="str">
        <f t="shared" si="13"/>
        <v>007</v>
      </c>
      <c r="G156" s="6" t="s">
        <v>1321</v>
      </c>
      <c r="H156" s="6">
        <v>450</v>
      </c>
      <c r="I156" s="6">
        <v>650</v>
      </c>
      <c r="J156" s="6">
        <f>IF(OR(G156="ágazaton kívüli",G156="n.a."),2.2,IF(OR(E156=2,E156=3,E156=4),VLOOKUP(G156,Szakmaszorzók!$B$2:$D$25,2,0),VLOOKUP(G156,Szakmaszorzók!$B$2:$D$25,3,0)))</f>
        <v>2.85</v>
      </c>
      <c r="K156" s="173">
        <f>'Támogatás szorzat tényezői'!$C$2*'Támogatás szorzat tényezői'!$C$5*J156*(H156/1000)</f>
        <v>461700</v>
      </c>
      <c r="L156" s="203" t="s">
        <v>2355</v>
      </c>
      <c r="M156" s="6">
        <f t="shared" si="14"/>
        <v>8</v>
      </c>
    </row>
    <row r="157" spans="1:13" ht="15.75" x14ac:dyDescent="0.25">
      <c r="A157" s="207">
        <v>321</v>
      </c>
      <c r="B157" s="6" t="s">
        <v>2748</v>
      </c>
      <c r="C157" s="204">
        <v>10315015</v>
      </c>
      <c r="D157" s="204" t="str">
        <f t="shared" si="11"/>
        <v>1031</v>
      </c>
      <c r="E157" s="204" t="str">
        <f t="shared" si="12"/>
        <v>5</v>
      </c>
      <c r="F157" s="205" t="str">
        <f t="shared" si="13"/>
        <v>015</v>
      </c>
      <c r="G157" s="6" t="s">
        <v>1321</v>
      </c>
      <c r="H157" s="6">
        <v>600</v>
      </c>
      <c r="I157" s="6">
        <v>650</v>
      </c>
      <c r="J157" s="6">
        <f>IF(OR(G157="ágazaton kívüli",G157="n.a."),2.2,IF(OR(E157=2,E157=3,E157=4),VLOOKUP(G157,Szakmaszorzók!$B$2:$D$25,2,0),VLOOKUP(G157,Szakmaszorzók!$B$2:$D$25,3,0)))</f>
        <v>2.85</v>
      </c>
      <c r="K157" s="173">
        <f>'Támogatás szorzat tényezői'!$C$2*'Támogatás szorzat tényezői'!$C$5*J157*(H157/1000)</f>
        <v>615600</v>
      </c>
      <c r="L157" s="203" t="s">
        <v>2356</v>
      </c>
      <c r="M157" s="6">
        <f t="shared" si="14"/>
        <v>8</v>
      </c>
    </row>
    <row r="158" spans="1:13" ht="15.75" x14ac:dyDescent="0.25">
      <c r="A158" s="207">
        <v>322</v>
      </c>
      <c r="B158" s="6" t="s">
        <v>2749</v>
      </c>
      <c r="C158" s="204">
        <v>10315014</v>
      </c>
      <c r="D158" s="204" t="str">
        <f t="shared" si="11"/>
        <v>1031</v>
      </c>
      <c r="E158" s="204" t="str">
        <f t="shared" si="12"/>
        <v>5</v>
      </c>
      <c r="F158" s="205" t="str">
        <f t="shared" si="13"/>
        <v>014</v>
      </c>
      <c r="G158" s="6" t="s">
        <v>1321</v>
      </c>
      <c r="H158" s="6">
        <v>779</v>
      </c>
      <c r="I158" s="6">
        <v>865</v>
      </c>
      <c r="J158" s="6">
        <f>IF(OR(G158="ágazaton kívüli",G158="n.a."),2.2,IF(OR(E158=2,E158=3,E158=4),VLOOKUP(G158,Szakmaszorzók!$B$2:$D$25,2,0),VLOOKUP(G158,Szakmaszorzók!$B$2:$D$25,3,0)))</f>
        <v>2.85</v>
      </c>
      <c r="K158" s="173">
        <f>'Támogatás szorzat tényezői'!$C$2*'Támogatás szorzat tényezői'!$C$5*J158*(H158/1000)</f>
        <v>799254</v>
      </c>
      <c r="L158" s="203" t="s">
        <v>2357</v>
      </c>
      <c r="M158" s="6">
        <f t="shared" si="14"/>
        <v>8</v>
      </c>
    </row>
    <row r="159" spans="1:13" ht="15.75" x14ac:dyDescent="0.25">
      <c r="A159" s="207">
        <v>323</v>
      </c>
      <c r="B159" s="6" t="s">
        <v>2750</v>
      </c>
      <c r="C159" s="204">
        <v>10315006</v>
      </c>
      <c r="D159" s="204" t="str">
        <f t="shared" si="11"/>
        <v>1031</v>
      </c>
      <c r="E159" s="204" t="str">
        <f t="shared" si="12"/>
        <v>5</v>
      </c>
      <c r="F159" s="205" t="str">
        <f t="shared" si="13"/>
        <v>006</v>
      </c>
      <c r="G159" s="6" t="s">
        <v>1321</v>
      </c>
      <c r="H159" s="6">
        <v>462</v>
      </c>
      <c r="I159" s="6">
        <v>544</v>
      </c>
      <c r="J159" s="6">
        <f>IF(OR(G159="ágazaton kívüli",G159="n.a."),2.2,IF(OR(E159=2,E159=3,E159=4),VLOOKUP(G159,Szakmaszorzók!$B$2:$D$25,2,0),VLOOKUP(G159,Szakmaszorzók!$B$2:$D$25,3,0)))</f>
        <v>2.85</v>
      </c>
      <c r="K159" s="173">
        <f>'Támogatás szorzat tényezői'!$C$2*'Támogatás szorzat tényezői'!$C$5*J159*(H159/1000)</f>
        <v>474012</v>
      </c>
      <c r="L159" s="203" t="s">
        <v>2358</v>
      </c>
      <c r="M159" s="6">
        <f t="shared" si="14"/>
        <v>8</v>
      </c>
    </row>
    <row r="160" spans="1:13" ht="15.75" x14ac:dyDescent="0.25">
      <c r="A160" s="207">
        <v>324</v>
      </c>
      <c r="B160" s="6" t="s">
        <v>2751</v>
      </c>
      <c r="C160" s="204">
        <v>10315005</v>
      </c>
      <c r="D160" s="204" t="str">
        <f t="shared" si="11"/>
        <v>1031</v>
      </c>
      <c r="E160" s="204" t="str">
        <f t="shared" si="12"/>
        <v>5</v>
      </c>
      <c r="F160" s="205" t="str">
        <f t="shared" si="13"/>
        <v>005</v>
      </c>
      <c r="G160" s="6" t="s">
        <v>1321</v>
      </c>
      <c r="H160" s="6">
        <v>510</v>
      </c>
      <c r="I160" s="6">
        <v>639</v>
      </c>
      <c r="J160" s="6">
        <f>IF(OR(G160="ágazaton kívüli",G160="n.a."),2.2,IF(OR(E160=2,E160=3,E160=4),VLOOKUP(G160,Szakmaszorzók!$B$2:$D$25,2,0),VLOOKUP(G160,Szakmaszorzók!$B$2:$D$25,3,0)))</f>
        <v>2.85</v>
      </c>
      <c r="K160" s="173">
        <f>'Támogatás szorzat tényezői'!$C$2*'Támogatás szorzat tényezői'!$C$5*J160*(H160/1000)</f>
        <v>523260</v>
      </c>
      <c r="L160" s="203" t="s">
        <v>2359</v>
      </c>
      <c r="M160" s="6">
        <f t="shared" si="14"/>
        <v>8</v>
      </c>
    </row>
    <row r="161" spans="1:13" ht="15.75" x14ac:dyDescent="0.25">
      <c r="A161" s="207">
        <v>325</v>
      </c>
      <c r="B161" s="6" t="s">
        <v>2752</v>
      </c>
      <c r="C161" s="204">
        <v>10315013</v>
      </c>
      <c r="D161" s="204" t="str">
        <f t="shared" si="11"/>
        <v>1031</v>
      </c>
      <c r="E161" s="204" t="str">
        <f t="shared" si="12"/>
        <v>5</v>
      </c>
      <c r="F161" s="205" t="str">
        <f t="shared" si="13"/>
        <v>013</v>
      </c>
      <c r="G161" s="6" t="s">
        <v>1321</v>
      </c>
      <c r="H161" s="6">
        <v>855</v>
      </c>
      <c r="I161" s="6">
        <v>950</v>
      </c>
      <c r="J161" s="6">
        <f>IF(OR(G161="ágazaton kívüli",G161="n.a."),2.2,IF(OR(E161=2,E161=3,E161=4),VLOOKUP(G161,Szakmaszorzók!$B$2:$D$25,2,0),VLOOKUP(G161,Szakmaszorzók!$B$2:$D$25,3,0)))</f>
        <v>2.85</v>
      </c>
      <c r="K161" s="173">
        <f>'Támogatás szorzat tényezői'!$C$2*'Támogatás szorzat tényezői'!$C$5*J161*(H161/1000)</f>
        <v>877230</v>
      </c>
      <c r="L161" s="203" t="s">
        <v>2360</v>
      </c>
      <c r="M161" s="6">
        <f t="shared" si="14"/>
        <v>8</v>
      </c>
    </row>
    <row r="162" spans="1:13" ht="15.75" x14ac:dyDescent="0.25">
      <c r="A162" s="207">
        <v>326</v>
      </c>
      <c r="B162" s="6" t="s">
        <v>2753</v>
      </c>
      <c r="C162" s="204">
        <v>10315012</v>
      </c>
      <c r="D162" s="204" t="str">
        <f t="shared" si="11"/>
        <v>1031</v>
      </c>
      <c r="E162" s="204" t="str">
        <f t="shared" si="12"/>
        <v>5</v>
      </c>
      <c r="F162" s="205" t="str">
        <f t="shared" si="13"/>
        <v>012</v>
      </c>
      <c r="G162" s="6" t="s">
        <v>1321</v>
      </c>
      <c r="H162" s="6">
        <v>838</v>
      </c>
      <c r="I162" s="6">
        <v>927</v>
      </c>
      <c r="J162" s="6">
        <f>IF(OR(G162="ágazaton kívüli",G162="n.a."),2.2,IF(OR(E162=2,E162=3,E162=4),VLOOKUP(G162,Szakmaszorzók!$B$2:$D$25,2,0),VLOOKUP(G162,Szakmaszorzók!$B$2:$D$25,3,0)))</f>
        <v>2.85</v>
      </c>
      <c r="K162" s="173">
        <f>'Támogatás szorzat tényezői'!$C$2*'Támogatás szorzat tényezői'!$C$5*J162*(H162/1000)</f>
        <v>859788</v>
      </c>
      <c r="L162" s="203" t="s">
        <v>2361</v>
      </c>
      <c r="M162" s="6">
        <f t="shared" si="14"/>
        <v>8</v>
      </c>
    </row>
    <row r="163" spans="1:13" ht="15.75" x14ac:dyDescent="0.25">
      <c r="A163" s="207">
        <v>327</v>
      </c>
      <c r="B163" s="6" t="s">
        <v>2754</v>
      </c>
      <c r="C163" s="204">
        <v>10315011</v>
      </c>
      <c r="D163" s="204" t="str">
        <f t="shared" si="11"/>
        <v>1031</v>
      </c>
      <c r="E163" s="204" t="str">
        <f t="shared" si="12"/>
        <v>5</v>
      </c>
      <c r="F163" s="205" t="str">
        <f t="shared" si="13"/>
        <v>011</v>
      </c>
      <c r="G163" s="6" t="s">
        <v>1321</v>
      </c>
      <c r="H163" s="6">
        <v>570</v>
      </c>
      <c r="I163" s="6">
        <v>590</v>
      </c>
      <c r="J163" s="6">
        <f>IF(OR(G163="ágazaton kívüli",G163="n.a."),2.2,IF(OR(E163=2,E163=3,E163=4),VLOOKUP(G163,Szakmaszorzók!$B$2:$D$25,2,0),VLOOKUP(G163,Szakmaszorzók!$B$2:$D$25,3,0)))</f>
        <v>2.85</v>
      </c>
      <c r="K163" s="173">
        <f>'Támogatás szorzat tényezői'!$C$2*'Támogatás szorzat tényezői'!$C$5*J163*(H163/1000)</f>
        <v>584820</v>
      </c>
      <c r="L163" s="203" t="s">
        <v>2362</v>
      </c>
      <c r="M163" s="6">
        <f t="shared" si="14"/>
        <v>8</v>
      </c>
    </row>
    <row r="164" spans="1:13" ht="15.75" x14ac:dyDescent="0.25">
      <c r="A164" s="207">
        <v>328</v>
      </c>
      <c r="B164" s="6" t="s">
        <v>2755</v>
      </c>
      <c r="C164" s="204">
        <v>10315010</v>
      </c>
      <c r="D164" s="204" t="str">
        <f t="shared" si="11"/>
        <v>1031</v>
      </c>
      <c r="E164" s="204" t="str">
        <f t="shared" si="12"/>
        <v>5</v>
      </c>
      <c r="F164" s="205" t="str">
        <f t="shared" si="13"/>
        <v>010</v>
      </c>
      <c r="G164" s="6" t="s">
        <v>1321</v>
      </c>
      <c r="H164" s="6">
        <v>526</v>
      </c>
      <c r="I164" s="6">
        <v>656</v>
      </c>
      <c r="J164" s="6">
        <f>IF(OR(G164="ágazaton kívüli",G164="n.a."),2.2,IF(OR(E164=2,E164=3,E164=4),VLOOKUP(G164,Szakmaszorzók!$B$2:$D$25,2,0),VLOOKUP(G164,Szakmaszorzók!$B$2:$D$25,3,0)))</f>
        <v>2.85</v>
      </c>
      <c r="K164" s="173">
        <f>'Támogatás szorzat tényezői'!$C$2*'Támogatás szorzat tényezői'!$C$5*J164*(H164/1000)</f>
        <v>539676</v>
      </c>
      <c r="L164" s="203" t="s">
        <v>2363</v>
      </c>
      <c r="M164" s="6">
        <f t="shared" si="14"/>
        <v>8</v>
      </c>
    </row>
    <row r="165" spans="1:13" ht="15.75" x14ac:dyDescent="0.25">
      <c r="A165" s="207">
        <v>329</v>
      </c>
      <c r="B165" s="6" t="s">
        <v>2756</v>
      </c>
      <c r="C165" s="204">
        <v>10315009</v>
      </c>
      <c r="D165" s="204" t="str">
        <f t="shared" si="11"/>
        <v>1031</v>
      </c>
      <c r="E165" s="204" t="str">
        <f t="shared" si="12"/>
        <v>5</v>
      </c>
      <c r="F165" s="205" t="str">
        <f t="shared" si="13"/>
        <v>009</v>
      </c>
      <c r="G165" s="6" t="s">
        <v>1321</v>
      </c>
      <c r="H165" s="6">
        <v>526</v>
      </c>
      <c r="I165" s="6">
        <v>656</v>
      </c>
      <c r="J165" s="6">
        <f>IF(OR(G165="ágazaton kívüli",G165="n.a."),2.2,IF(OR(E165=2,E165=3,E165=4),VLOOKUP(G165,Szakmaszorzók!$B$2:$D$25,2,0),VLOOKUP(G165,Szakmaszorzók!$B$2:$D$25,3,0)))</f>
        <v>2.85</v>
      </c>
      <c r="K165" s="173">
        <f>'Támogatás szorzat tényezői'!$C$2*'Támogatás szorzat tényezői'!$C$5*J165*(H165/1000)</f>
        <v>539676</v>
      </c>
      <c r="L165" s="203" t="s">
        <v>2364</v>
      </c>
      <c r="M165" s="6">
        <f t="shared" si="14"/>
        <v>8</v>
      </c>
    </row>
    <row r="166" spans="1:13" ht="15.75" x14ac:dyDescent="0.25">
      <c r="A166" s="207">
        <v>330</v>
      </c>
      <c r="B166" s="6" t="s">
        <v>2757</v>
      </c>
      <c r="C166" s="204">
        <v>10315023</v>
      </c>
      <c r="D166" s="204" t="str">
        <f t="shared" si="11"/>
        <v>1031</v>
      </c>
      <c r="E166" s="204" t="str">
        <f t="shared" si="12"/>
        <v>5</v>
      </c>
      <c r="F166" s="205" t="str">
        <f t="shared" si="13"/>
        <v>023</v>
      </c>
      <c r="G166" s="6" t="s">
        <v>1321</v>
      </c>
      <c r="H166" s="6">
        <v>525</v>
      </c>
      <c r="I166" s="6">
        <v>564</v>
      </c>
      <c r="J166" s="6">
        <f>IF(OR(G166="ágazaton kívüli",G166="n.a."),2.2,IF(OR(E166=2,E166=3,E166=4),VLOOKUP(G166,Szakmaszorzók!$B$2:$D$25,2,0),VLOOKUP(G166,Szakmaszorzók!$B$2:$D$25,3,0)))</f>
        <v>2.85</v>
      </c>
      <c r="K166" s="173">
        <f>'Támogatás szorzat tényezői'!$C$2*'Támogatás szorzat tényezői'!$C$5*J166*(H166/1000)</f>
        <v>538650</v>
      </c>
      <c r="L166" s="203" t="s">
        <v>2365</v>
      </c>
      <c r="M166" s="6">
        <f t="shared" si="14"/>
        <v>8</v>
      </c>
    </row>
    <row r="167" spans="1:13" ht="15.75" x14ac:dyDescent="0.25">
      <c r="A167" s="207">
        <v>331</v>
      </c>
      <c r="B167" s="6" t="s">
        <v>2758</v>
      </c>
      <c r="C167" s="204">
        <v>10315004</v>
      </c>
      <c r="D167" s="204" t="str">
        <f t="shared" si="11"/>
        <v>1031</v>
      </c>
      <c r="E167" s="204" t="str">
        <f t="shared" si="12"/>
        <v>5</v>
      </c>
      <c r="F167" s="205" t="str">
        <f t="shared" si="13"/>
        <v>004</v>
      </c>
      <c r="G167" s="6" t="s">
        <v>1321</v>
      </c>
      <c r="H167" s="6">
        <v>567</v>
      </c>
      <c r="I167" s="6">
        <v>681</v>
      </c>
      <c r="J167" s="6">
        <f>IF(OR(G167="ágazaton kívüli",G167="n.a."),2.2,IF(OR(E167=2,E167=3,E167=4),VLOOKUP(G167,Szakmaszorzók!$B$2:$D$25,2,0),VLOOKUP(G167,Szakmaszorzók!$B$2:$D$25,3,0)))</f>
        <v>2.85</v>
      </c>
      <c r="K167" s="173">
        <f>'Támogatás szorzat tényezői'!$C$2*'Támogatás szorzat tényezői'!$C$5*J167*(H167/1000)</f>
        <v>581742</v>
      </c>
      <c r="L167" s="203" t="s">
        <v>2366</v>
      </c>
      <c r="M167" s="6">
        <f t="shared" si="14"/>
        <v>8</v>
      </c>
    </row>
    <row r="168" spans="1:13" ht="15.75" x14ac:dyDescent="0.25">
      <c r="A168" s="207">
        <v>332</v>
      </c>
      <c r="B168" s="6" t="s">
        <v>2759</v>
      </c>
      <c r="C168" s="204">
        <v>10315017</v>
      </c>
      <c r="D168" s="204" t="str">
        <f t="shared" si="11"/>
        <v>1031</v>
      </c>
      <c r="E168" s="204" t="str">
        <f t="shared" si="12"/>
        <v>5</v>
      </c>
      <c r="F168" s="205" t="str">
        <f t="shared" si="13"/>
        <v>017</v>
      </c>
      <c r="G168" s="6" t="s">
        <v>1321</v>
      </c>
      <c r="H168" s="6">
        <v>380</v>
      </c>
      <c r="I168" s="6">
        <v>420</v>
      </c>
      <c r="J168" s="6">
        <f>IF(OR(G168="ágazaton kívüli",G168="n.a."),2.2,IF(OR(E168=2,E168=3,E168=4),VLOOKUP(G168,Szakmaszorzók!$B$2:$D$25,2,0),VLOOKUP(G168,Szakmaszorzók!$B$2:$D$25,3,0)))</f>
        <v>2.85</v>
      </c>
      <c r="K168" s="173">
        <f>'Támogatás szorzat tényezői'!$C$2*'Támogatás szorzat tényezői'!$C$5*J168*(H168/1000)</f>
        <v>389880</v>
      </c>
      <c r="L168" s="203" t="s">
        <v>2367</v>
      </c>
      <c r="M168" s="6">
        <f t="shared" si="14"/>
        <v>8</v>
      </c>
    </row>
    <row r="169" spans="1:13" ht="15.75" x14ac:dyDescent="0.25">
      <c r="A169" s="207">
        <v>333</v>
      </c>
      <c r="B169" s="6" t="s">
        <v>2760</v>
      </c>
      <c r="C169" s="204">
        <v>10315021</v>
      </c>
      <c r="D169" s="204" t="str">
        <f t="shared" si="11"/>
        <v>1031</v>
      </c>
      <c r="E169" s="204" t="str">
        <f t="shared" si="12"/>
        <v>5</v>
      </c>
      <c r="F169" s="205" t="str">
        <f t="shared" si="13"/>
        <v>021</v>
      </c>
      <c r="G169" s="6" t="s">
        <v>1321</v>
      </c>
      <c r="H169" s="6">
        <v>578</v>
      </c>
      <c r="I169" s="6">
        <v>713</v>
      </c>
      <c r="J169" s="6">
        <f>IF(OR(G169="ágazaton kívüli",G169="n.a."),2.2,IF(OR(E169=2,E169=3,E169=4),VLOOKUP(G169,Szakmaszorzók!$B$2:$D$25,2,0),VLOOKUP(G169,Szakmaszorzók!$B$2:$D$25,3,0)))</f>
        <v>2.85</v>
      </c>
      <c r="K169" s="173">
        <f>'Támogatás szorzat tényezői'!$C$2*'Támogatás szorzat tényezői'!$C$5*J169*(H169/1000)</f>
        <v>593028</v>
      </c>
      <c r="L169" s="203" t="s">
        <v>2368</v>
      </c>
      <c r="M169" s="6">
        <f t="shared" si="14"/>
        <v>8</v>
      </c>
    </row>
    <row r="170" spans="1:13" ht="15.75" x14ac:dyDescent="0.25">
      <c r="A170" s="207">
        <v>334</v>
      </c>
      <c r="B170" s="6" t="s">
        <v>2761</v>
      </c>
      <c r="C170" s="204">
        <v>10315016</v>
      </c>
      <c r="D170" s="204" t="str">
        <f t="shared" si="11"/>
        <v>1031</v>
      </c>
      <c r="E170" s="204" t="str">
        <f t="shared" si="12"/>
        <v>5</v>
      </c>
      <c r="F170" s="205" t="str">
        <f t="shared" si="13"/>
        <v>016</v>
      </c>
      <c r="G170" s="6" t="s">
        <v>1321</v>
      </c>
      <c r="H170" s="6">
        <v>600</v>
      </c>
      <c r="I170" s="6">
        <v>650</v>
      </c>
      <c r="J170" s="6">
        <f>IF(OR(G170="ágazaton kívüli",G170="n.a."),2.2,IF(OR(E170=2,E170=3,E170=4),VLOOKUP(G170,Szakmaszorzók!$B$2:$D$25,2,0),VLOOKUP(G170,Szakmaszorzók!$B$2:$D$25,3,0)))</f>
        <v>2.85</v>
      </c>
      <c r="K170" s="173">
        <f>'Támogatás szorzat tényezői'!$C$2*'Támogatás szorzat tényezői'!$C$5*J170*(H170/1000)</f>
        <v>615600</v>
      </c>
      <c r="L170" s="203" t="s">
        <v>2369</v>
      </c>
      <c r="M170" s="6">
        <f t="shared" si="14"/>
        <v>8</v>
      </c>
    </row>
    <row r="171" spans="1:13" ht="15.75" x14ac:dyDescent="0.25">
      <c r="A171" s="207">
        <v>335</v>
      </c>
      <c r="B171" s="6" t="s">
        <v>2762</v>
      </c>
      <c r="C171" s="204">
        <v>10315003</v>
      </c>
      <c r="D171" s="204" t="str">
        <f t="shared" si="11"/>
        <v>1031</v>
      </c>
      <c r="E171" s="204" t="str">
        <f t="shared" si="12"/>
        <v>5</v>
      </c>
      <c r="F171" s="205" t="str">
        <f t="shared" si="13"/>
        <v>003</v>
      </c>
      <c r="G171" s="6" t="s">
        <v>1321</v>
      </c>
      <c r="H171" s="6">
        <v>587</v>
      </c>
      <c r="I171" s="6">
        <v>664</v>
      </c>
      <c r="J171" s="6">
        <f>IF(OR(G171="ágazaton kívüli",G171="n.a."),2.2,IF(OR(E171=2,E171=3,E171=4),VLOOKUP(G171,Szakmaszorzók!$B$2:$D$25,2,0),VLOOKUP(G171,Szakmaszorzók!$B$2:$D$25,3,0)))</f>
        <v>2.85</v>
      </c>
      <c r="K171" s="173">
        <f>'Támogatás szorzat tényezői'!$C$2*'Támogatás szorzat tényezői'!$C$5*J171*(H171/1000)</f>
        <v>602262</v>
      </c>
      <c r="L171" s="203" t="s">
        <v>2370</v>
      </c>
      <c r="M171" s="6">
        <f t="shared" si="14"/>
        <v>8</v>
      </c>
    </row>
    <row r="172" spans="1:13" ht="15.75" x14ac:dyDescent="0.25">
      <c r="A172" s="207">
        <v>336</v>
      </c>
      <c r="B172" s="6" t="s">
        <v>2763</v>
      </c>
      <c r="C172" s="204">
        <v>10315002</v>
      </c>
      <c r="D172" s="204" t="str">
        <f t="shared" si="11"/>
        <v>1031</v>
      </c>
      <c r="E172" s="204" t="str">
        <f t="shared" si="12"/>
        <v>5</v>
      </c>
      <c r="F172" s="205" t="str">
        <f t="shared" si="13"/>
        <v>002</v>
      </c>
      <c r="G172" s="6" t="s">
        <v>1321</v>
      </c>
      <c r="H172" s="6">
        <v>460</v>
      </c>
      <c r="I172" s="6">
        <v>501</v>
      </c>
      <c r="J172" s="6">
        <f>IF(OR(G172="ágazaton kívüli",G172="n.a."),2.2,IF(OR(E172=2,E172=3,E172=4),VLOOKUP(G172,Szakmaszorzók!$B$2:$D$25,2,0),VLOOKUP(G172,Szakmaszorzók!$B$2:$D$25,3,0)))</f>
        <v>2.85</v>
      </c>
      <c r="K172" s="173">
        <f>'Támogatás szorzat tényezői'!$C$2*'Támogatás szorzat tényezői'!$C$5*J172*(H172/1000)</f>
        <v>471960</v>
      </c>
      <c r="L172" s="203" t="s">
        <v>2371</v>
      </c>
      <c r="M172" s="6">
        <f t="shared" si="14"/>
        <v>8</v>
      </c>
    </row>
    <row r="173" spans="1:13" ht="15.75" x14ac:dyDescent="0.25">
      <c r="A173" s="207">
        <v>337</v>
      </c>
      <c r="B173" s="6" t="s">
        <v>2764</v>
      </c>
      <c r="C173" s="204">
        <v>10315020</v>
      </c>
      <c r="D173" s="204" t="str">
        <f t="shared" si="11"/>
        <v>1031</v>
      </c>
      <c r="E173" s="204" t="str">
        <f t="shared" si="12"/>
        <v>5</v>
      </c>
      <c r="F173" s="205" t="str">
        <f t="shared" si="13"/>
        <v>020</v>
      </c>
      <c r="G173" s="6" t="s">
        <v>1321</v>
      </c>
      <c r="H173" s="6">
        <v>714</v>
      </c>
      <c r="I173" s="6">
        <v>730</v>
      </c>
      <c r="J173" s="6">
        <f>IF(OR(G173="ágazaton kívüli",G173="n.a."),2.2,IF(OR(E173=2,E173=3,E173=4),VLOOKUP(G173,Szakmaszorzók!$B$2:$D$25,2,0),VLOOKUP(G173,Szakmaszorzók!$B$2:$D$25,3,0)))</f>
        <v>2.85</v>
      </c>
      <c r="K173" s="173">
        <f>'Támogatás szorzat tényezői'!$C$2*'Támogatás szorzat tényezői'!$C$5*J173*(H173/1000)</f>
        <v>732564</v>
      </c>
      <c r="L173" s="203" t="s">
        <v>2372</v>
      </c>
      <c r="M173" s="6">
        <f t="shared" si="14"/>
        <v>8</v>
      </c>
    </row>
    <row r="174" spans="1:13" ht="15.75" x14ac:dyDescent="0.25">
      <c r="A174" s="207">
        <v>338</v>
      </c>
      <c r="B174" s="6" t="s">
        <v>2765</v>
      </c>
      <c r="C174" s="204">
        <v>10315022</v>
      </c>
      <c r="D174" s="204" t="str">
        <f t="shared" si="11"/>
        <v>1031</v>
      </c>
      <c r="E174" s="204" t="str">
        <f t="shared" si="12"/>
        <v>5</v>
      </c>
      <c r="F174" s="205" t="str">
        <f t="shared" si="13"/>
        <v>022</v>
      </c>
      <c r="G174" s="6" t="s">
        <v>1321</v>
      </c>
      <c r="H174" s="6">
        <v>348</v>
      </c>
      <c r="I174" s="6">
        <v>390</v>
      </c>
      <c r="J174" s="6">
        <f>IF(OR(G174="ágazaton kívüli",G174="n.a."),2.2,IF(OR(E174=2,E174=3,E174=4),VLOOKUP(G174,Szakmaszorzók!$B$2:$D$25,2,0),VLOOKUP(G174,Szakmaszorzók!$B$2:$D$25,3,0)))</f>
        <v>2.85</v>
      </c>
      <c r="K174" s="173">
        <f>'Támogatás szorzat tényezői'!$C$2*'Támogatás szorzat tényezői'!$C$5*J174*(H174/1000)</f>
        <v>357048</v>
      </c>
      <c r="L174" s="203" t="s">
        <v>2373</v>
      </c>
      <c r="M174" s="6">
        <f t="shared" si="14"/>
        <v>8</v>
      </c>
    </row>
    <row r="175" spans="1:13" ht="15.75" x14ac:dyDescent="0.25">
      <c r="A175" s="207">
        <v>339</v>
      </c>
      <c r="B175" s="6" t="s">
        <v>2766</v>
      </c>
      <c r="C175" s="204">
        <v>10315008</v>
      </c>
      <c r="D175" s="204" t="str">
        <f t="shared" si="11"/>
        <v>1031</v>
      </c>
      <c r="E175" s="204" t="str">
        <f t="shared" si="12"/>
        <v>5</v>
      </c>
      <c r="F175" s="205" t="str">
        <f t="shared" si="13"/>
        <v>008</v>
      </c>
      <c r="G175" s="6" t="s">
        <v>1321</v>
      </c>
      <c r="H175" s="6">
        <v>470</v>
      </c>
      <c r="I175" s="6">
        <v>540</v>
      </c>
      <c r="J175" s="6">
        <f>IF(OR(G175="ágazaton kívüli",G175="n.a."),2.2,IF(OR(E175=2,E175=3,E175=4),VLOOKUP(G175,Szakmaszorzók!$B$2:$D$25,2,0),VLOOKUP(G175,Szakmaszorzók!$B$2:$D$25,3,0)))</f>
        <v>2.85</v>
      </c>
      <c r="K175" s="173">
        <f>'Támogatás szorzat tényezői'!$C$2*'Támogatás szorzat tényezői'!$C$5*J175*(H175/1000)</f>
        <v>482220</v>
      </c>
      <c r="L175" s="203" t="s">
        <v>2374</v>
      </c>
      <c r="M175" s="6">
        <f t="shared" si="14"/>
        <v>8</v>
      </c>
    </row>
    <row r="176" spans="1:13" ht="15.75" x14ac:dyDescent="0.25">
      <c r="A176" s="207">
        <v>340</v>
      </c>
      <c r="B176" s="6" t="s">
        <v>2767</v>
      </c>
      <c r="C176" s="204">
        <v>10315018</v>
      </c>
      <c r="D176" s="204" t="str">
        <f t="shared" si="11"/>
        <v>1031</v>
      </c>
      <c r="E176" s="204" t="str">
        <f t="shared" si="12"/>
        <v>5</v>
      </c>
      <c r="F176" s="205" t="str">
        <f t="shared" si="13"/>
        <v>018</v>
      </c>
      <c r="G176" s="6" t="s">
        <v>1321</v>
      </c>
      <c r="H176" s="6">
        <v>730</v>
      </c>
      <c r="I176" s="6">
        <v>810</v>
      </c>
      <c r="J176" s="6">
        <f>IF(OR(G176="ágazaton kívüli",G176="n.a."),2.2,IF(OR(E176=2,E176=3,E176=4),VLOOKUP(G176,Szakmaszorzók!$B$2:$D$25,2,0),VLOOKUP(G176,Szakmaszorzók!$B$2:$D$25,3,0)))</f>
        <v>2.85</v>
      </c>
      <c r="K176" s="173">
        <f>'Támogatás szorzat tényezői'!$C$2*'Támogatás szorzat tényezői'!$C$5*J176*(H176/1000)</f>
        <v>748980</v>
      </c>
      <c r="L176" s="203" t="s">
        <v>2375</v>
      </c>
      <c r="M176" s="6">
        <f t="shared" si="14"/>
        <v>8</v>
      </c>
    </row>
    <row r="177" spans="1:13" ht="15.75" x14ac:dyDescent="0.25">
      <c r="A177" s="207">
        <v>341</v>
      </c>
      <c r="B177" s="6" t="s">
        <v>2768</v>
      </c>
      <c r="C177" s="204">
        <v>10315019</v>
      </c>
      <c r="D177" s="204" t="str">
        <f t="shared" si="11"/>
        <v>1031</v>
      </c>
      <c r="E177" s="204" t="str">
        <f t="shared" si="12"/>
        <v>5</v>
      </c>
      <c r="F177" s="205" t="str">
        <f t="shared" si="13"/>
        <v>019</v>
      </c>
      <c r="G177" s="6" t="s">
        <v>1321</v>
      </c>
      <c r="H177" s="6">
        <v>560</v>
      </c>
      <c r="I177" s="6">
        <v>660</v>
      </c>
      <c r="J177" s="6">
        <f>IF(OR(G177="ágazaton kívüli",G177="n.a."),2.2,IF(OR(E177=2,E177=3,E177=4),VLOOKUP(G177,Szakmaszorzók!$B$2:$D$25,2,0),VLOOKUP(G177,Szakmaszorzók!$B$2:$D$25,3,0)))</f>
        <v>2.85</v>
      </c>
      <c r="K177" s="173">
        <f>'Támogatás szorzat tényezői'!$C$2*'Támogatás szorzat tényezői'!$C$5*J177*(H177/1000)</f>
        <v>574560</v>
      </c>
      <c r="L177" s="203" t="s">
        <v>2376</v>
      </c>
      <c r="M177" s="6">
        <f t="shared" si="14"/>
        <v>8</v>
      </c>
    </row>
    <row r="178" spans="1:13" ht="15.75" x14ac:dyDescent="0.25">
      <c r="A178" s="207">
        <v>19</v>
      </c>
      <c r="B178" s="6" t="s">
        <v>2592</v>
      </c>
      <c r="C178" s="204" t="s">
        <v>1502</v>
      </c>
      <c r="D178" s="204" t="str">
        <f t="shared" si="11"/>
        <v>0713</v>
      </c>
      <c r="E178" s="204" t="str">
        <f t="shared" si="12"/>
        <v>4</v>
      </c>
      <c r="F178" s="205" t="str">
        <f t="shared" si="13"/>
        <v>010</v>
      </c>
      <c r="G178" s="6" t="s">
        <v>1290</v>
      </c>
      <c r="H178" s="6">
        <v>32</v>
      </c>
      <c r="I178" s="6">
        <v>60</v>
      </c>
      <c r="J178" s="6">
        <f>IF(OR(G178="ágazaton kívüli",G178="n.a."),2.2,IF(OR(E178=2,E178=3,E178=4),VLOOKUP(G178,Szakmaszorzók!$B$2:$D$25,2,0),VLOOKUP(G178,Szakmaszorzók!$B$2:$D$25,3,0)))</f>
        <v>2.85</v>
      </c>
      <c r="K178" s="173">
        <f>'Támogatás szorzat tényezői'!$C$2*'Támogatás szorzat tényezői'!$C$5*J178*(H178/1000)</f>
        <v>32832</v>
      </c>
      <c r="L178" s="203" t="s">
        <v>2054</v>
      </c>
      <c r="M178" s="6">
        <f t="shared" si="14"/>
        <v>8</v>
      </c>
    </row>
    <row r="179" spans="1:13" ht="15.75" x14ac:dyDescent="0.25">
      <c r="A179" s="207">
        <v>20</v>
      </c>
      <c r="B179" s="6" t="s">
        <v>2593</v>
      </c>
      <c r="C179" s="204" t="s">
        <v>1503</v>
      </c>
      <c r="D179" s="204" t="str">
        <f t="shared" si="11"/>
        <v>0713</v>
      </c>
      <c r="E179" s="204" t="str">
        <f t="shared" si="12"/>
        <v>4</v>
      </c>
      <c r="F179" s="205" t="str">
        <f t="shared" si="13"/>
        <v>007</v>
      </c>
      <c r="G179" s="6" t="s">
        <v>1290</v>
      </c>
      <c r="H179" s="6">
        <v>32</v>
      </c>
      <c r="I179" s="6">
        <v>60</v>
      </c>
      <c r="J179" s="6">
        <f>IF(OR(G179="ágazaton kívüli",G179="n.a."),2.2,IF(OR(E179=2,E179=3,E179=4),VLOOKUP(G179,Szakmaszorzók!$B$2:$D$25,2,0),VLOOKUP(G179,Szakmaszorzók!$B$2:$D$25,3,0)))</f>
        <v>2.85</v>
      </c>
      <c r="K179" s="173">
        <f>'Támogatás szorzat tényezői'!$C$2*'Támogatás szorzat tényezői'!$C$5*J179*(H179/1000)</f>
        <v>32832</v>
      </c>
      <c r="L179" s="203" t="s">
        <v>2055</v>
      </c>
      <c r="M179" s="6">
        <f t="shared" si="14"/>
        <v>8</v>
      </c>
    </row>
    <row r="180" spans="1:13" ht="15.75" x14ac:dyDescent="0.25">
      <c r="A180" s="207">
        <v>21</v>
      </c>
      <c r="B180" s="6" t="s">
        <v>2594</v>
      </c>
      <c r="C180" s="204" t="s">
        <v>1667</v>
      </c>
      <c r="D180" s="204" t="str">
        <f t="shared" si="11"/>
        <v>0713</v>
      </c>
      <c r="E180" s="204" t="str">
        <f t="shared" si="12"/>
        <v>4</v>
      </c>
      <c r="F180" s="205" t="str">
        <f t="shared" si="13"/>
        <v>028</v>
      </c>
      <c r="G180" s="6" t="s">
        <v>1290</v>
      </c>
      <c r="H180" s="6">
        <v>24</v>
      </c>
      <c r="I180" s="6">
        <v>32</v>
      </c>
      <c r="J180" s="6">
        <f>IF(OR(G180="ágazaton kívüli",G180="n.a."),2.2,IF(OR(E180=2,E180=3,E180=4),VLOOKUP(G180,Szakmaszorzók!$B$2:$D$25,2,0),VLOOKUP(G180,Szakmaszorzók!$B$2:$D$25,3,0)))</f>
        <v>2.85</v>
      </c>
      <c r="K180" s="173">
        <f>'Támogatás szorzat tényezői'!$C$2*'Támogatás szorzat tényezői'!$C$5*J180*(H180/1000)</f>
        <v>24624</v>
      </c>
      <c r="L180" s="203" t="s">
        <v>2056</v>
      </c>
      <c r="M180" s="6">
        <f t="shared" si="14"/>
        <v>8</v>
      </c>
    </row>
    <row r="181" spans="1:13" ht="15.75" x14ac:dyDescent="0.25">
      <c r="A181" s="207">
        <v>22</v>
      </c>
      <c r="B181" s="6" t="s">
        <v>2595</v>
      </c>
      <c r="C181" s="204" t="s">
        <v>1666</v>
      </c>
      <c r="D181" s="204" t="str">
        <f t="shared" si="11"/>
        <v>0713</v>
      </c>
      <c r="E181" s="204" t="str">
        <f t="shared" si="12"/>
        <v>4</v>
      </c>
      <c r="F181" s="205" t="str">
        <f t="shared" si="13"/>
        <v>027</v>
      </c>
      <c r="G181" s="6" t="s">
        <v>1290</v>
      </c>
      <c r="H181" s="6">
        <v>40</v>
      </c>
      <c r="I181" s="6">
        <v>60</v>
      </c>
      <c r="J181" s="6">
        <f>IF(OR(G181="ágazaton kívüli",G181="n.a."),2.2,IF(OR(E181=2,E181=3,E181=4),VLOOKUP(G181,Szakmaszorzók!$B$2:$D$25,2,0),VLOOKUP(G181,Szakmaszorzók!$B$2:$D$25,3,0)))</f>
        <v>2.85</v>
      </c>
      <c r="K181" s="173">
        <f>'Támogatás szorzat tényezői'!$C$2*'Támogatás szorzat tényezői'!$C$5*J181*(H181/1000)</f>
        <v>41040</v>
      </c>
      <c r="L181" s="203" t="s">
        <v>2057</v>
      </c>
      <c r="M181" s="6">
        <f t="shared" si="14"/>
        <v>8</v>
      </c>
    </row>
    <row r="182" spans="1:13" ht="15.75" x14ac:dyDescent="0.25">
      <c r="A182" s="207">
        <v>23</v>
      </c>
      <c r="B182" s="6" t="s">
        <v>2596</v>
      </c>
      <c r="C182" s="204" t="s">
        <v>1665</v>
      </c>
      <c r="D182" s="204" t="str">
        <f t="shared" ref="D182:D245" si="15">LEFT(C182,4)</f>
        <v>0713</v>
      </c>
      <c r="E182" s="204" t="str">
        <f t="shared" ref="E182:E245" si="16">LEFT(RIGHT(C182,4),1)</f>
        <v>4</v>
      </c>
      <c r="F182" s="205" t="str">
        <f t="shared" ref="F182:F245" si="17">RIGHT(C182,3)</f>
        <v>026</v>
      </c>
      <c r="G182" s="6" t="s">
        <v>1290</v>
      </c>
      <c r="H182" s="6">
        <v>24</v>
      </c>
      <c r="I182" s="6">
        <v>32</v>
      </c>
      <c r="J182" s="6">
        <f>IF(OR(G182="ágazaton kívüli",G182="n.a."),2.2,IF(OR(E182=2,E182=3,E182=4),VLOOKUP(G182,Szakmaszorzók!$B$2:$D$25,2,0),VLOOKUP(G182,Szakmaszorzók!$B$2:$D$25,3,0)))</f>
        <v>2.85</v>
      </c>
      <c r="K182" s="173">
        <f>'Támogatás szorzat tényezői'!$C$2*'Támogatás szorzat tényezői'!$C$5*J182*(H182/1000)</f>
        <v>24624</v>
      </c>
      <c r="L182" s="203" t="s">
        <v>2058</v>
      </c>
      <c r="M182" s="6">
        <f t="shared" si="14"/>
        <v>8</v>
      </c>
    </row>
    <row r="183" spans="1:13" ht="15.75" x14ac:dyDescent="0.25">
      <c r="A183" s="207">
        <v>212</v>
      </c>
      <c r="B183" s="6" t="s">
        <v>2466</v>
      </c>
      <c r="C183" s="204" t="s">
        <v>1504</v>
      </c>
      <c r="D183" s="208" t="str">
        <f t="shared" si="15"/>
        <v>0215</v>
      </c>
      <c r="E183" s="208" t="str">
        <f t="shared" si="16"/>
        <v>5</v>
      </c>
      <c r="F183" s="209" t="str">
        <f t="shared" si="17"/>
        <v>042</v>
      </c>
      <c r="G183" s="210" t="s">
        <v>1883</v>
      </c>
      <c r="H183" s="210" t="s">
        <v>1883</v>
      </c>
      <c r="I183" s="210" t="s">
        <v>1883</v>
      </c>
      <c r="J183" s="6">
        <f>IF(OR(G183="ágazaton kívüli",G183="n.a."),2.2,IF(OR(E183=2,E183=3,E183=4),VLOOKUP(G183,Szakmaszorzók!$B$2:$D$25,2,0),VLOOKUP(G183,Szakmaszorzók!$B$2:$D$25,3,0)))</f>
        <v>2.2000000000000002</v>
      </c>
      <c r="K183" s="215" t="e">
        <f>'Támogatás szorzat tényezői'!$C$2*'Támogatás szorzat tényezői'!$C$5*J183*(H183/1000)</f>
        <v>#VALUE!</v>
      </c>
      <c r="L183" s="203" t="s">
        <v>2247</v>
      </c>
      <c r="M183" s="6">
        <f t="shared" si="14"/>
        <v>8</v>
      </c>
    </row>
    <row r="184" spans="1:13" ht="15.75" x14ac:dyDescent="0.25">
      <c r="A184" s="207">
        <v>213</v>
      </c>
      <c r="B184" s="6" t="s">
        <v>2467</v>
      </c>
      <c r="C184" s="204" t="s">
        <v>1505</v>
      </c>
      <c r="D184" s="208" t="str">
        <f t="shared" si="15"/>
        <v>0215</v>
      </c>
      <c r="E184" s="208" t="str">
        <f t="shared" si="16"/>
        <v>5</v>
      </c>
      <c r="F184" s="209" t="str">
        <f t="shared" si="17"/>
        <v>043</v>
      </c>
      <c r="G184" s="210" t="s">
        <v>1883</v>
      </c>
      <c r="H184" s="210" t="s">
        <v>1883</v>
      </c>
      <c r="I184" s="210" t="s">
        <v>1883</v>
      </c>
      <c r="J184" s="6">
        <f>IF(OR(G184="ágazaton kívüli",G184="n.a."),2.2,IF(OR(E184=2,E184=3,E184=4),VLOOKUP(G184,Szakmaszorzók!$B$2:$D$25,2,0),VLOOKUP(G184,Szakmaszorzók!$B$2:$D$25,3,0)))</f>
        <v>2.2000000000000002</v>
      </c>
      <c r="K184" s="215" t="e">
        <f>'Támogatás szorzat tényezői'!$C$2*'Támogatás szorzat tényezői'!$C$5*J184*(H184/1000)</f>
        <v>#VALUE!</v>
      </c>
      <c r="L184" s="203" t="s">
        <v>2248</v>
      </c>
      <c r="M184" s="6">
        <f t="shared" si="14"/>
        <v>8</v>
      </c>
    </row>
    <row r="185" spans="1:13" ht="15.75" x14ac:dyDescent="0.25">
      <c r="A185" s="207">
        <v>214</v>
      </c>
      <c r="B185" s="6" t="s">
        <v>2556</v>
      </c>
      <c r="C185" s="204" t="s">
        <v>1506</v>
      </c>
      <c r="D185" s="208" t="str">
        <f t="shared" si="15"/>
        <v>0215</v>
      </c>
      <c r="E185" s="208" t="str">
        <f t="shared" si="16"/>
        <v>5</v>
      </c>
      <c r="F185" s="209" t="str">
        <f t="shared" si="17"/>
        <v>044</v>
      </c>
      <c r="G185" s="210" t="s">
        <v>1883</v>
      </c>
      <c r="H185" s="210" t="s">
        <v>1883</v>
      </c>
      <c r="I185" s="210" t="s">
        <v>1883</v>
      </c>
      <c r="J185" s="6">
        <f>IF(OR(G185="ágazaton kívüli",G185="n.a."),2.2,IF(OR(E185=2,E185=3,E185=4),VLOOKUP(G185,Szakmaszorzók!$B$2:$D$25,2,0),VLOOKUP(G185,Szakmaszorzók!$B$2:$D$25,3,0)))</f>
        <v>2.2000000000000002</v>
      </c>
      <c r="K185" s="215" t="e">
        <f>'Támogatás szorzat tényezői'!$C$2*'Támogatás szorzat tényezői'!$C$5*J185*(H185/1000)</f>
        <v>#VALUE!</v>
      </c>
      <c r="L185" s="203" t="s">
        <v>2249</v>
      </c>
      <c r="M185" s="6">
        <f t="shared" si="14"/>
        <v>8</v>
      </c>
    </row>
    <row r="186" spans="1:13" ht="15.75" x14ac:dyDescent="0.25">
      <c r="A186" s="207">
        <v>215</v>
      </c>
      <c r="B186" s="6" t="s">
        <v>2468</v>
      </c>
      <c r="C186" s="204" t="s">
        <v>1507</v>
      </c>
      <c r="D186" s="208" t="str">
        <f t="shared" si="15"/>
        <v>0215</v>
      </c>
      <c r="E186" s="208" t="str">
        <f t="shared" si="16"/>
        <v>5</v>
      </c>
      <c r="F186" s="209" t="str">
        <f t="shared" si="17"/>
        <v>045</v>
      </c>
      <c r="G186" s="210" t="s">
        <v>1883</v>
      </c>
      <c r="H186" s="210" t="s">
        <v>1883</v>
      </c>
      <c r="I186" s="210" t="s">
        <v>1883</v>
      </c>
      <c r="J186" s="6">
        <f>IF(OR(G186="ágazaton kívüli",G186="n.a."),2.2,IF(OR(E186=2,E186=3,E186=4),VLOOKUP(G186,Szakmaszorzók!$B$2:$D$25,2,0),VLOOKUP(G186,Szakmaszorzók!$B$2:$D$25,3,0)))</f>
        <v>2.2000000000000002</v>
      </c>
      <c r="K186" s="215" t="e">
        <f>'Támogatás szorzat tényezői'!$C$2*'Támogatás szorzat tényezői'!$C$5*J186*(H186/1000)</f>
        <v>#VALUE!</v>
      </c>
      <c r="L186" s="203" t="s">
        <v>2250</v>
      </c>
      <c r="M186" s="6">
        <f t="shared" si="14"/>
        <v>8</v>
      </c>
    </row>
    <row r="187" spans="1:13" ht="15.75" x14ac:dyDescent="0.25">
      <c r="A187" s="207">
        <v>216</v>
      </c>
      <c r="B187" s="6" t="s">
        <v>2469</v>
      </c>
      <c r="C187" s="204" t="s">
        <v>1508</v>
      </c>
      <c r="D187" s="208" t="str">
        <f t="shared" si="15"/>
        <v>0215</v>
      </c>
      <c r="E187" s="208" t="str">
        <f t="shared" si="16"/>
        <v>5</v>
      </c>
      <c r="F187" s="209" t="str">
        <f t="shared" si="17"/>
        <v>046</v>
      </c>
      <c r="G187" s="210" t="s">
        <v>1883</v>
      </c>
      <c r="H187" s="210" t="s">
        <v>1883</v>
      </c>
      <c r="I187" s="210" t="s">
        <v>1883</v>
      </c>
      <c r="J187" s="6">
        <f>IF(OR(G187="ágazaton kívüli",G187="n.a."),2.2,IF(OR(E187=2,E187=3,E187=4),VLOOKUP(G187,Szakmaszorzók!$B$2:$D$25,2,0),VLOOKUP(G187,Szakmaszorzók!$B$2:$D$25,3,0)))</f>
        <v>2.2000000000000002</v>
      </c>
      <c r="K187" s="215" t="e">
        <f>'Támogatás szorzat tényezői'!$C$2*'Támogatás szorzat tényezői'!$C$5*J187*(H187/1000)</f>
        <v>#VALUE!</v>
      </c>
      <c r="L187" s="203" t="s">
        <v>2251</v>
      </c>
      <c r="M187" s="6">
        <f t="shared" si="14"/>
        <v>8</v>
      </c>
    </row>
    <row r="188" spans="1:13" ht="15.75" x14ac:dyDescent="0.25">
      <c r="A188" s="207">
        <v>217</v>
      </c>
      <c r="B188" s="6" t="s">
        <v>2470</v>
      </c>
      <c r="C188" s="204" t="s">
        <v>1509</v>
      </c>
      <c r="D188" s="208" t="str">
        <f t="shared" si="15"/>
        <v>0215</v>
      </c>
      <c r="E188" s="208" t="str">
        <f t="shared" si="16"/>
        <v>5</v>
      </c>
      <c r="F188" s="209" t="str">
        <f t="shared" si="17"/>
        <v>047</v>
      </c>
      <c r="G188" s="210" t="s">
        <v>1883</v>
      </c>
      <c r="H188" s="210" t="s">
        <v>1883</v>
      </c>
      <c r="I188" s="210" t="s">
        <v>1883</v>
      </c>
      <c r="J188" s="6">
        <f>IF(OR(G188="ágazaton kívüli",G188="n.a."),2.2,IF(OR(E188=2,E188=3,E188=4),VLOOKUP(G188,Szakmaszorzók!$B$2:$D$25,2,0),VLOOKUP(G188,Szakmaszorzók!$B$2:$D$25,3,0)))</f>
        <v>2.2000000000000002</v>
      </c>
      <c r="K188" s="215" t="e">
        <f>'Támogatás szorzat tényezői'!$C$2*'Támogatás szorzat tényezői'!$C$5*J188*(H188/1000)</f>
        <v>#VALUE!</v>
      </c>
      <c r="L188" s="203" t="s">
        <v>2252</v>
      </c>
      <c r="M188" s="6">
        <f t="shared" si="14"/>
        <v>8</v>
      </c>
    </row>
    <row r="189" spans="1:13" ht="15.75" x14ac:dyDescent="0.25">
      <c r="A189" s="207">
        <v>218</v>
      </c>
      <c r="B189" s="6" t="s">
        <v>2471</v>
      </c>
      <c r="C189" s="204" t="s">
        <v>1510</v>
      </c>
      <c r="D189" s="208" t="str">
        <f t="shared" si="15"/>
        <v>0215</v>
      </c>
      <c r="E189" s="208" t="str">
        <f t="shared" si="16"/>
        <v>5</v>
      </c>
      <c r="F189" s="209" t="str">
        <f t="shared" si="17"/>
        <v>048</v>
      </c>
      <c r="G189" s="210" t="s">
        <v>1883</v>
      </c>
      <c r="H189" s="210" t="s">
        <v>1883</v>
      </c>
      <c r="I189" s="210" t="s">
        <v>1883</v>
      </c>
      <c r="J189" s="6">
        <f>IF(OR(G189="ágazaton kívüli",G189="n.a."),2.2,IF(OR(E189=2,E189=3,E189=4),VLOOKUP(G189,Szakmaszorzók!$B$2:$D$25,2,0),VLOOKUP(G189,Szakmaszorzók!$B$2:$D$25,3,0)))</f>
        <v>2.2000000000000002</v>
      </c>
      <c r="K189" s="215" t="e">
        <f>'Támogatás szorzat tényezői'!$C$2*'Támogatás szorzat tényezői'!$C$5*J189*(H189/1000)</f>
        <v>#VALUE!</v>
      </c>
      <c r="L189" s="203" t="s">
        <v>2253</v>
      </c>
      <c r="M189" s="6">
        <f t="shared" si="14"/>
        <v>8</v>
      </c>
    </row>
    <row r="190" spans="1:13" ht="15.75" x14ac:dyDescent="0.25">
      <c r="A190" s="207">
        <v>219</v>
      </c>
      <c r="B190" s="6" t="s">
        <v>2557</v>
      </c>
      <c r="C190" s="204" t="s">
        <v>1511</v>
      </c>
      <c r="D190" s="208" t="str">
        <f t="shared" si="15"/>
        <v>0215</v>
      </c>
      <c r="E190" s="208" t="str">
        <f t="shared" si="16"/>
        <v>5</v>
      </c>
      <c r="F190" s="209" t="str">
        <f t="shared" si="17"/>
        <v>049</v>
      </c>
      <c r="G190" s="210" t="s">
        <v>1883</v>
      </c>
      <c r="H190" s="210" t="s">
        <v>1883</v>
      </c>
      <c r="I190" s="210" t="s">
        <v>1883</v>
      </c>
      <c r="J190" s="6">
        <f>IF(OR(G190="ágazaton kívüli",G190="n.a."),2.2,IF(OR(E190=2,E190=3,E190=4),VLOOKUP(G190,Szakmaszorzók!$B$2:$D$25,2,0),VLOOKUP(G190,Szakmaszorzók!$B$2:$D$25,3,0)))</f>
        <v>2.2000000000000002</v>
      </c>
      <c r="K190" s="215" t="e">
        <f>'Támogatás szorzat tényezői'!$C$2*'Támogatás szorzat tényezői'!$C$5*J190*(H190/1000)</f>
        <v>#VALUE!</v>
      </c>
      <c r="L190" s="203" t="s">
        <v>2254</v>
      </c>
      <c r="M190" s="6">
        <f t="shared" si="14"/>
        <v>8</v>
      </c>
    </row>
    <row r="191" spans="1:13" ht="15.75" x14ac:dyDescent="0.25">
      <c r="A191" s="207">
        <v>220</v>
      </c>
      <c r="B191" s="6" t="s">
        <v>2558</v>
      </c>
      <c r="C191" s="204" t="s">
        <v>1512</v>
      </c>
      <c r="D191" s="208" t="str">
        <f t="shared" si="15"/>
        <v>0215</v>
      </c>
      <c r="E191" s="208" t="str">
        <f t="shared" si="16"/>
        <v>5</v>
      </c>
      <c r="F191" s="209" t="str">
        <f t="shared" si="17"/>
        <v>050</v>
      </c>
      <c r="G191" s="210" t="s">
        <v>1883</v>
      </c>
      <c r="H191" s="210" t="s">
        <v>1883</v>
      </c>
      <c r="I191" s="210" t="s">
        <v>1883</v>
      </c>
      <c r="J191" s="6">
        <f>IF(OR(G191="ágazaton kívüli",G191="n.a."),2.2,IF(OR(E191=2,E191=3,E191=4),VLOOKUP(G191,Szakmaszorzók!$B$2:$D$25,2,0),VLOOKUP(G191,Szakmaszorzók!$B$2:$D$25,3,0)))</f>
        <v>2.2000000000000002</v>
      </c>
      <c r="K191" s="215" t="e">
        <f>'Támogatás szorzat tényezői'!$C$2*'Támogatás szorzat tényezői'!$C$5*J191*(H191/1000)</f>
        <v>#VALUE!</v>
      </c>
      <c r="L191" s="203" t="s">
        <v>2255</v>
      </c>
      <c r="M191" s="6">
        <f t="shared" si="14"/>
        <v>8</v>
      </c>
    </row>
    <row r="192" spans="1:13" ht="15.75" x14ac:dyDescent="0.25">
      <c r="A192" s="207">
        <v>221</v>
      </c>
      <c r="B192" s="6" t="s">
        <v>2472</v>
      </c>
      <c r="C192" s="204" t="s">
        <v>1513</v>
      </c>
      <c r="D192" s="208" t="str">
        <f t="shared" si="15"/>
        <v>0215</v>
      </c>
      <c r="E192" s="208" t="str">
        <f t="shared" si="16"/>
        <v>4</v>
      </c>
      <c r="F192" s="209" t="str">
        <f t="shared" si="17"/>
        <v>033</v>
      </c>
      <c r="G192" s="210" t="s">
        <v>1883</v>
      </c>
      <c r="H192" s="6">
        <v>1700</v>
      </c>
      <c r="I192" s="6">
        <v>2200</v>
      </c>
      <c r="J192" s="6">
        <f>IF(OR(G192="ágazaton kívüli",G192="n.a."),2.2,IF(OR(E192=2,E192=3,E192=4),VLOOKUP(G192,Szakmaszorzók!$B$2:$D$25,2,0),VLOOKUP(G192,Szakmaszorzók!$B$2:$D$25,3,0)))</f>
        <v>2.2000000000000002</v>
      </c>
      <c r="K192" s="173">
        <f>'Támogatás szorzat tényezői'!$C$2*'Támogatás szorzat tényezői'!$C$5*J192*(H192/1000)</f>
        <v>1346400.0000000002</v>
      </c>
      <c r="L192" s="203" t="s">
        <v>2256</v>
      </c>
      <c r="M192" s="6">
        <f t="shared" si="14"/>
        <v>8</v>
      </c>
    </row>
    <row r="193" spans="1:13" ht="15.75" x14ac:dyDescent="0.25">
      <c r="A193" s="207">
        <v>222</v>
      </c>
      <c r="B193" s="6" t="s">
        <v>2473</v>
      </c>
      <c r="C193" s="204" t="s">
        <v>1514</v>
      </c>
      <c r="D193" s="208" t="str">
        <f t="shared" si="15"/>
        <v>0215</v>
      </c>
      <c r="E193" s="208" t="str">
        <f t="shared" si="16"/>
        <v>4</v>
      </c>
      <c r="F193" s="209" t="str">
        <f t="shared" si="17"/>
        <v>034</v>
      </c>
      <c r="G193" s="210" t="s">
        <v>1883</v>
      </c>
      <c r="H193" s="6">
        <v>1700</v>
      </c>
      <c r="I193" s="6">
        <v>2200</v>
      </c>
      <c r="J193" s="6">
        <f>IF(OR(G193="ágazaton kívüli",G193="n.a."),2.2,IF(OR(E193=2,E193=3,E193=4),VLOOKUP(G193,Szakmaszorzók!$B$2:$D$25,2,0),VLOOKUP(G193,Szakmaszorzók!$B$2:$D$25,3,0)))</f>
        <v>2.2000000000000002</v>
      </c>
      <c r="K193" s="173">
        <f>'Támogatás szorzat tényezői'!$C$2*'Támogatás szorzat tényezői'!$C$5*J193*(H193/1000)</f>
        <v>1346400.0000000002</v>
      </c>
      <c r="L193" s="203" t="s">
        <v>2257</v>
      </c>
      <c r="M193" s="6">
        <f t="shared" si="14"/>
        <v>8</v>
      </c>
    </row>
    <row r="194" spans="1:13" ht="15.75" x14ac:dyDescent="0.25">
      <c r="A194" s="207">
        <v>223</v>
      </c>
      <c r="B194" s="6" t="s">
        <v>2474</v>
      </c>
      <c r="C194" s="204" t="s">
        <v>1515</v>
      </c>
      <c r="D194" s="208" t="str">
        <f t="shared" si="15"/>
        <v>0215</v>
      </c>
      <c r="E194" s="208" t="str">
        <f t="shared" si="16"/>
        <v>4</v>
      </c>
      <c r="F194" s="209" t="str">
        <f t="shared" si="17"/>
        <v>035</v>
      </c>
      <c r="G194" s="210" t="s">
        <v>1883</v>
      </c>
      <c r="H194" s="6">
        <v>1700</v>
      </c>
      <c r="I194" s="6">
        <v>2200</v>
      </c>
      <c r="J194" s="6">
        <f>IF(OR(G194="ágazaton kívüli",G194="n.a."),2.2,IF(OR(E194=2,E194=3,E194=4),VLOOKUP(G194,Szakmaszorzók!$B$2:$D$25,2,0),VLOOKUP(G194,Szakmaszorzók!$B$2:$D$25,3,0)))</f>
        <v>2.2000000000000002</v>
      </c>
      <c r="K194" s="173">
        <f>'Támogatás szorzat tényezői'!$C$2*'Támogatás szorzat tényezői'!$C$5*J194*(H194/1000)</f>
        <v>1346400.0000000002</v>
      </c>
      <c r="L194" s="203" t="s">
        <v>2258</v>
      </c>
      <c r="M194" s="6">
        <f t="shared" ref="M194:M257" si="18">LEN(C194)</f>
        <v>8</v>
      </c>
    </row>
    <row r="195" spans="1:13" ht="15.75" x14ac:dyDescent="0.25">
      <c r="A195" s="207">
        <v>224</v>
      </c>
      <c r="B195" s="6" t="s">
        <v>2559</v>
      </c>
      <c r="C195" s="204" t="s">
        <v>1516</v>
      </c>
      <c r="D195" s="208" t="str">
        <f t="shared" si="15"/>
        <v>0215</v>
      </c>
      <c r="E195" s="208" t="str">
        <f t="shared" si="16"/>
        <v>4</v>
      </c>
      <c r="F195" s="209" t="str">
        <f t="shared" si="17"/>
        <v>036</v>
      </c>
      <c r="G195" s="210" t="s">
        <v>1883</v>
      </c>
      <c r="H195" s="6">
        <v>1700</v>
      </c>
      <c r="I195" s="6">
        <v>2200</v>
      </c>
      <c r="J195" s="6">
        <f>IF(OR(G195="ágazaton kívüli",G195="n.a."),2.2,IF(OR(E195=2,E195=3,E195=4),VLOOKUP(G195,Szakmaszorzók!$B$2:$D$25,2,0),VLOOKUP(G195,Szakmaszorzók!$B$2:$D$25,3,0)))</f>
        <v>2.2000000000000002</v>
      </c>
      <c r="K195" s="173">
        <f>'Támogatás szorzat tényezői'!$C$2*'Támogatás szorzat tényezői'!$C$5*J195*(H195/1000)</f>
        <v>1346400.0000000002</v>
      </c>
      <c r="L195" s="203" t="s">
        <v>2259</v>
      </c>
      <c r="M195" s="6">
        <f t="shared" si="18"/>
        <v>8</v>
      </c>
    </row>
    <row r="196" spans="1:13" ht="15.75" x14ac:dyDescent="0.25">
      <c r="A196" s="207">
        <v>225</v>
      </c>
      <c r="B196" s="6" t="s">
        <v>2475</v>
      </c>
      <c r="C196" s="204" t="s">
        <v>1517</v>
      </c>
      <c r="D196" s="208" t="str">
        <f t="shared" si="15"/>
        <v>0215</v>
      </c>
      <c r="E196" s="208" t="str">
        <f t="shared" si="16"/>
        <v>4</v>
      </c>
      <c r="F196" s="209" t="str">
        <f t="shared" si="17"/>
        <v>037</v>
      </c>
      <c r="G196" s="210" t="s">
        <v>1883</v>
      </c>
      <c r="H196" s="6">
        <v>1700</v>
      </c>
      <c r="I196" s="6">
        <v>2200</v>
      </c>
      <c r="J196" s="6">
        <f>IF(OR(G196="ágazaton kívüli",G196="n.a."),2.2,IF(OR(E196=2,E196=3,E196=4),VLOOKUP(G196,Szakmaszorzók!$B$2:$D$25,2,0),VLOOKUP(G196,Szakmaszorzók!$B$2:$D$25,3,0)))</f>
        <v>2.2000000000000002</v>
      </c>
      <c r="K196" s="173">
        <f>'Támogatás szorzat tényezői'!$C$2*'Támogatás szorzat tényezői'!$C$5*J196*(H196/1000)</f>
        <v>1346400.0000000002</v>
      </c>
      <c r="L196" s="203" t="s">
        <v>2260</v>
      </c>
      <c r="M196" s="6">
        <f t="shared" si="18"/>
        <v>8</v>
      </c>
    </row>
    <row r="197" spans="1:13" ht="15.75" x14ac:dyDescent="0.25">
      <c r="A197" s="207">
        <v>226</v>
      </c>
      <c r="B197" s="6" t="s">
        <v>2476</v>
      </c>
      <c r="C197" s="204" t="s">
        <v>1518</v>
      </c>
      <c r="D197" s="208" t="str">
        <f t="shared" si="15"/>
        <v>0215</v>
      </c>
      <c r="E197" s="208" t="str">
        <f t="shared" si="16"/>
        <v>4</v>
      </c>
      <c r="F197" s="209" t="str">
        <f t="shared" si="17"/>
        <v>038</v>
      </c>
      <c r="G197" s="210" t="s">
        <v>1883</v>
      </c>
      <c r="H197" s="6">
        <v>1700</v>
      </c>
      <c r="I197" s="6">
        <v>2200</v>
      </c>
      <c r="J197" s="6">
        <f>IF(OR(G197="ágazaton kívüli",G197="n.a."),2.2,IF(OR(E197=2,E197=3,E197=4),VLOOKUP(G197,Szakmaszorzók!$B$2:$D$25,2,0),VLOOKUP(G197,Szakmaszorzók!$B$2:$D$25,3,0)))</f>
        <v>2.2000000000000002</v>
      </c>
      <c r="K197" s="173">
        <f>'Támogatás szorzat tényezői'!$C$2*'Támogatás szorzat tényezői'!$C$5*J197*(H197/1000)</f>
        <v>1346400.0000000002</v>
      </c>
      <c r="L197" s="203" t="s">
        <v>2261</v>
      </c>
      <c r="M197" s="6">
        <f t="shared" si="18"/>
        <v>8</v>
      </c>
    </row>
    <row r="198" spans="1:13" ht="15.75" x14ac:dyDescent="0.25">
      <c r="A198" s="207">
        <v>227</v>
      </c>
      <c r="B198" s="6" t="s">
        <v>2560</v>
      </c>
      <c r="C198" s="204" t="s">
        <v>1519</v>
      </c>
      <c r="D198" s="208" t="str">
        <f t="shared" si="15"/>
        <v>0215</v>
      </c>
      <c r="E198" s="208" t="str">
        <f t="shared" si="16"/>
        <v>4</v>
      </c>
      <c r="F198" s="209" t="str">
        <f t="shared" si="17"/>
        <v>039</v>
      </c>
      <c r="G198" s="210" t="s">
        <v>1883</v>
      </c>
      <c r="H198" s="6">
        <v>1700</v>
      </c>
      <c r="I198" s="6">
        <v>2200</v>
      </c>
      <c r="J198" s="6">
        <f>IF(OR(G198="ágazaton kívüli",G198="n.a."),2.2,IF(OR(E198=2,E198=3,E198=4),VLOOKUP(G198,Szakmaszorzók!$B$2:$D$25,2,0),VLOOKUP(G198,Szakmaszorzók!$B$2:$D$25,3,0)))</f>
        <v>2.2000000000000002</v>
      </c>
      <c r="K198" s="173">
        <f>'Támogatás szorzat tényezői'!$C$2*'Támogatás szorzat tényezői'!$C$5*J198*(H198/1000)</f>
        <v>1346400.0000000002</v>
      </c>
      <c r="L198" s="203" t="s">
        <v>2262</v>
      </c>
      <c r="M198" s="6">
        <f t="shared" si="18"/>
        <v>8</v>
      </c>
    </row>
    <row r="199" spans="1:13" ht="15.75" x14ac:dyDescent="0.25">
      <c r="A199" s="207">
        <v>228</v>
      </c>
      <c r="B199" s="6" t="s">
        <v>2477</v>
      </c>
      <c r="C199" s="204" t="s">
        <v>1520</v>
      </c>
      <c r="D199" s="208" t="str">
        <f t="shared" si="15"/>
        <v>0215</v>
      </c>
      <c r="E199" s="208" t="str">
        <f t="shared" si="16"/>
        <v>4</v>
      </c>
      <c r="F199" s="209" t="str">
        <f t="shared" si="17"/>
        <v>040</v>
      </c>
      <c r="G199" s="210" t="s">
        <v>1883</v>
      </c>
      <c r="H199" s="6">
        <v>1700</v>
      </c>
      <c r="I199" s="6">
        <v>2200</v>
      </c>
      <c r="J199" s="6">
        <f>IF(OR(G199="ágazaton kívüli",G199="n.a."),2.2,IF(OR(E199=2,E199=3,E199=4),VLOOKUP(G199,Szakmaszorzók!$B$2:$D$25,2,0),VLOOKUP(G199,Szakmaszorzók!$B$2:$D$25,3,0)))</f>
        <v>2.2000000000000002</v>
      </c>
      <c r="K199" s="173">
        <f>'Támogatás szorzat tényezői'!$C$2*'Támogatás szorzat tényezői'!$C$5*J199*(H199/1000)</f>
        <v>1346400.0000000002</v>
      </c>
      <c r="L199" s="203" t="s">
        <v>2263</v>
      </c>
      <c r="M199" s="6">
        <f t="shared" si="18"/>
        <v>8</v>
      </c>
    </row>
    <row r="200" spans="1:13" ht="15.75" x14ac:dyDescent="0.25">
      <c r="A200" s="207">
        <v>229</v>
      </c>
      <c r="B200" s="6" t="s">
        <v>2478</v>
      </c>
      <c r="C200" s="204" t="s">
        <v>1521</v>
      </c>
      <c r="D200" s="208" t="str">
        <f t="shared" si="15"/>
        <v>0215</v>
      </c>
      <c r="E200" s="208" t="str">
        <f t="shared" si="16"/>
        <v>4</v>
      </c>
      <c r="F200" s="209" t="str">
        <f t="shared" si="17"/>
        <v>041</v>
      </c>
      <c r="G200" s="210" t="s">
        <v>1883</v>
      </c>
      <c r="H200" s="6">
        <v>1700</v>
      </c>
      <c r="I200" s="6">
        <v>2200</v>
      </c>
      <c r="J200" s="6">
        <f>IF(OR(G200="ágazaton kívüli",G200="n.a."),2.2,IF(OR(E200=2,E200=3,E200=4),VLOOKUP(G200,Szakmaszorzók!$B$2:$D$25,2,0),VLOOKUP(G200,Szakmaszorzók!$B$2:$D$25,3,0)))</f>
        <v>2.2000000000000002</v>
      </c>
      <c r="K200" s="173">
        <f>'Támogatás szorzat tényezői'!$C$2*'Támogatás szorzat tényezői'!$C$5*J200*(H200/1000)</f>
        <v>1346400.0000000002</v>
      </c>
      <c r="L200" s="203" t="s">
        <v>2264</v>
      </c>
      <c r="M200" s="6">
        <f t="shared" si="18"/>
        <v>8</v>
      </c>
    </row>
    <row r="201" spans="1:13" ht="15.75" x14ac:dyDescent="0.25">
      <c r="A201" s="207">
        <v>121</v>
      </c>
      <c r="B201" s="6" t="s">
        <v>1701</v>
      </c>
      <c r="C201" s="204" t="s">
        <v>1700</v>
      </c>
      <c r="D201" s="208" t="str">
        <f t="shared" si="15"/>
        <v>0819</v>
      </c>
      <c r="E201" s="208" t="str">
        <f t="shared" si="16"/>
        <v>2</v>
      </c>
      <c r="F201" s="209" t="str">
        <f t="shared" si="17"/>
        <v>003</v>
      </c>
      <c r="G201" s="6" t="s">
        <v>1316</v>
      </c>
      <c r="H201" s="6">
        <v>480</v>
      </c>
      <c r="I201" s="6">
        <v>600</v>
      </c>
      <c r="J201" s="6">
        <f>IF(OR(G201="ágazaton kívüli",G201="n.a."),2.2,IF(OR(E201=2,E201=3,E201=4),VLOOKUP(G201,Szakmaszorzók!$B$2:$D$25,2,0),VLOOKUP(G201,Szakmaszorzók!$B$2:$D$25,3,0)))</f>
        <v>2.85</v>
      </c>
      <c r="K201" s="173">
        <f>'Támogatás szorzat tényezői'!$C$2*'Támogatás szorzat tényezői'!$C$5*J201*(H201/1000)</f>
        <v>492480</v>
      </c>
      <c r="L201" s="203" t="s">
        <v>2156</v>
      </c>
      <c r="M201" s="6">
        <f t="shared" si="18"/>
        <v>8</v>
      </c>
    </row>
    <row r="202" spans="1:13" ht="15.75" x14ac:dyDescent="0.25">
      <c r="A202" s="207">
        <v>149</v>
      </c>
      <c r="B202" s="6" t="s">
        <v>2696</v>
      </c>
      <c r="C202" s="204" t="s">
        <v>2788</v>
      </c>
      <c r="D202" s="208" t="str">
        <f t="shared" si="15"/>
        <v>0213</v>
      </c>
      <c r="E202" s="208" t="str">
        <f t="shared" si="16"/>
        <v>5</v>
      </c>
      <c r="F202" s="209" t="str">
        <f t="shared" si="17"/>
        <v>013</v>
      </c>
      <c r="G202" s="210" t="s">
        <v>1883</v>
      </c>
      <c r="H202" s="6">
        <v>950</v>
      </c>
      <c r="I202" s="6">
        <v>1100</v>
      </c>
      <c r="J202" s="6">
        <f>IF(OR(G202="ágazaton kívüli",G202="n.a."),2.2,IF(OR(E202=2,E202=3,E202=4),VLOOKUP(G202,Szakmaszorzók!$B$2:$D$25,2,0),VLOOKUP(G202,Szakmaszorzók!$B$2:$D$25,3,0)))</f>
        <v>2.2000000000000002</v>
      </c>
      <c r="K202" s="173">
        <f>'Támogatás szorzat tényezői'!$C$2*'Támogatás szorzat tényezői'!$C$5*J202*(H202/1000)</f>
        <v>752400.00000000012</v>
      </c>
      <c r="L202" s="203" t="s">
        <v>2184</v>
      </c>
      <c r="M202" s="6">
        <f t="shared" si="18"/>
        <v>8</v>
      </c>
    </row>
    <row r="203" spans="1:13" ht="15.75" x14ac:dyDescent="0.25">
      <c r="A203" s="207">
        <v>137</v>
      </c>
      <c r="B203" s="6" t="s">
        <v>2694</v>
      </c>
      <c r="C203" s="204" t="s">
        <v>1522</v>
      </c>
      <c r="D203" s="208" t="str">
        <f t="shared" si="15"/>
        <v>0211</v>
      </c>
      <c r="E203" s="208" t="str">
        <f t="shared" si="16"/>
        <v>5</v>
      </c>
      <c r="F203" s="209" t="str">
        <f t="shared" si="17"/>
        <v>001</v>
      </c>
      <c r="G203" s="6" t="s">
        <v>1298</v>
      </c>
      <c r="H203" s="6">
        <v>800</v>
      </c>
      <c r="I203" s="6">
        <v>1200</v>
      </c>
      <c r="J203" s="6">
        <f>IF(OR(G203="ágazaton kívüli",G203="n.a."),2.2,IF(OR(E203=2,E203=3,E203=4),VLOOKUP(G203,Szakmaszorzók!$B$2:$D$25,2,0),VLOOKUP(G203,Szakmaszorzók!$B$2:$D$25,3,0)))</f>
        <v>2.42</v>
      </c>
      <c r="K203" s="173">
        <f>'Támogatás szorzat tényezői'!$C$2*'Támogatás szorzat tényezői'!$C$5*J203*(H203/1000)</f>
        <v>696960</v>
      </c>
      <c r="L203" s="203" t="s">
        <v>2172</v>
      </c>
      <c r="M203" s="6">
        <f t="shared" si="18"/>
        <v>8</v>
      </c>
    </row>
    <row r="204" spans="1:13" ht="15.75" x14ac:dyDescent="0.25">
      <c r="A204" s="207">
        <v>94</v>
      </c>
      <c r="B204" s="6" t="s">
        <v>2665</v>
      </c>
      <c r="C204" s="204" t="s">
        <v>1523</v>
      </c>
      <c r="D204" s="204" t="str">
        <f t="shared" si="15"/>
        <v>0723</v>
      </c>
      <c r="E204" s="204" t="str">
        <f t="shared" si="16"/>
        <v>3</v>
      </c>
      <c r="F204" s="205" t="str">
        <f t="shared" si="17"/>
        <v>005</v>
      </c>
      <c r="G204" s="6" t="s">
        <v>1298</v>
      </c>
      <c r="H204" s="6">
        <v>800</v>
      </c>
      <c r="I204" s="6">
        <v>1000</v>
      </c>
      <c r="J204" s="6">
        <f>IF(OR(G204="ágazaton kívüli",G204="n.a."),2.2,IF(OR(E204=2,E204=3,E204=4),VLOOKUP(G204,Szakmaszorzók!$B$2:$D$25,2,0),VLOOKUP(G204,Szakmaszorzók!$B$2:$D$25,3,0)))</f>
        <v>2.42</v>
      </c>
      <c r="K204" s="173">
        <f>'Támogatás szorzat tényezői'!$C$2*'Támogatás szorzat tényezői'!$C$5*J204*(H204/1000)</f>
        <v>696960</v>
      </c>
      <c r="L204" s="203" t="s">
        <v>2129</v>
      </c>
      <c r="M204" s="6">
        <f t="shared" si="18"/>
        <v>8</v>
      </c>
    </row>
    <row r="205" spans="1:13" ht="15.75" x14ac:dyDescent="0.25">
      <c r="A205" s="207">
        <v>353</v>
      </c>
      <c r="B205" s="6" t="s">
        <v>2528</v>
      </c>
      <c r="C205" s="204">
        <v>10324002</v>
      </c>
      <c r="D205" s="204" t="str">
        <f t="shared" si="15"/>
        <v>1032</v>
      </c>
      <c r="E205" s="204" t="str">
        <f t="shared" si="16"/>
        <v>4</v>
      </c>
      <c r="F205" s="205" t="str">
        <f t="shared" si="17"/>
        <v>002</v>
      </c>
      <c r="G205" s="6" t="s">
        <v>1373</v>
      </c>
      <c r="H205" s="6">
        <v>1100</v>
      </c>
      <c r="I205" s="6">
        <v>1500</v>
      </c>
      <c r="J205" s="6">
        <f>IF(OR(G205="ágazaton kívüli",G205="n.a."),2.2,IF(OR(E205=2,E205=3,E205=4),VLOOKUP(G205,Szakmaszorzók!$B$2:$D$25,2,0),VLOOKUP(G205,Szakmaszorzók!$B$2:$D$25,3,0)))</f>
        <v>2.2000000000000002</v>
      </c>
      <c r="K205" s="173">
        <f>'Támogatás szorzat tényezői'!$C$2*'Támogatás szorzat tényezői'!$C$5*J205*(H205/1000)</f>
        <v>871200.00000000023</v>
      </c>
      <c r="L205" s="203" t="s">
        <v>2388</v>
      </c>
      <c r="M205" s="6">
        <f t="shared" si="18"/>
        <v>8</v>
      </c>
    </row>
    <row r="206" spans="1:13" ht="15.75" x14ac:dyDescent="0.25">
      <c r="A206" s="207">
        <v>24</v>
      </c>
      <c r="B206" s="6" t="s">
        <v>2597</v>
      </c>
      <c r="C206" s="204" t="s">
        <v>1664</v>
      </c>
      <c r="D206" s="204" t="str">
        <f t="shared" si="15"/>
        <v>0713</v>
      </c>
      <c r="E206" s="204" t="str">
        <f t="shared" si="16"/>
        <v>4</v>
      </c>
      <c r="F206" s="205" t="str">
        <f t="shared" si="17"/>
        <v>025</v>
      </c>
      <c r="G206" s="6" t="s">
        <v>1290</v>
      </c>
      <c r="H206" s="6">
        <v>120</v>
      </c>
      <c r="I206" s="6">
        <v>210</v>
      </c>
      <c r="J206" s="6">
        <f>IF(OR(G206="ágazaton kívüli",G206="n.a."),2.2,IF(OR(E206=2,E206=3,E206=4),VLOOKUP(G206,Szakmaszorzók!$B$2:$D$25,2,0),VLOOKUP(G206,Szakmaszorzók!$B$2:$D$25,3,0)))</f>
        <v>2.85</v>
      </c>
      <c r="K206" s="173">
        <f>'Támogatás szorzat tényezői'!$C$2*'Támogatás szorzat tényezői'!$C$5*J206*(H206/1000)</f>
        <v>123120</v>
      </c>
      <c r="L206" s="203" t="s">
        <v>2059</v>
      </c>
      <c r="M206" s="6">
        <f t="shared" si="18"/>
        <v>8</v>
      </c>
    </row>
    <row r="207" spans="1:13" ht="15.75" x14ac:dyDescent="0.25">
      <c r="A207" s="207">
        <v>25</v>
      </c>
      <c r="B207" s="6" t="s">
        <v>2598</v>
      </c>
      <c r="C207" s="204" t="s">
        <v>1663</v>
      </c>
      <c r="D207" s="204" t="str">
        <f t="shared" si="15"/>
        <v>0713</v>
      </c>
      <c r="E207" s="204" t="str">
        <f t="shared" si="16"/>
        <v>4</v>
      </c>
      <c r="F207" s="205" t="str">
        <f t="shared" si="17"/>
        <v>024</v>
      </c>
      <c r="G207" s="6" t="s">
        <v>1290</v>
      </c>
      <c r="H207" s="6">
        <v>120</v>
      </c>
      <c r="I207" s="6">
        <v>210</v>
      </c>
      <c r="J207" s="6">
        <f>IF(OR(G207="ágazaton kívüli",G207="n.a."),2.2,IF(OR(E207=2,E207=3,E207=4),VLOOKUP(G207,Szakmaszorzók!$B$2:$D$25,2,0),VLOOKUP(G207,Szakmaszorzók!$B$2:$D$25,3,0)))</f>
        <v>2.85</v>
      </c>
      <c r="K207" s="173">
        <f>'Támogatás szorzat tényezői'!$C$2*'Támogatás szorzat tényezői'!$C$5*J207*(H207/1000)</f>
        <v>123120</v>
      </c>
      <c r="L207" s="203" t="s">
        <v>2060</v>
      </c>
      <c r="M207" s="6">
        <f t="shared" si="18"/>
        <v>8</v>
      </c>
    </row>
    <row r="208" spans="1:13" ht="15.75" x14ac:dyDescent="0.25">
      <c r="A208" s="207">
        <v>26</v>
      </c>
      <c r="B208" s="6" t="s">
        <v>2599</v>
      </c>
      <c r="C208" s="204" t="s">
        <v>1524</v>
      </c>
      <c r="D208" s="204" t="str">
        <f t="shared" si="15"/>
        <v>0713</v>
      </c>
      <c r="E208" s="204" t="str">
        <f t="shared" si="16"/>
        <v>4</v>
      </c>
      <c r="F208" s="205" t="str">
        <f t="shared" si="17"/>
        <v>006</v>
      </c>
      <c r="G208" s="6" t="s">
        <v>1290</v>
      </c>
      <c r="H208" s="6">
        <v>160</v>
      </c>
      <c r="I208" s="6">
        <v>200</v>
      </c>
      <c r="J208" s="6">
        <f>IF(OR(G208="ágazaton kívüli",G208="n.a."),2.2,IF(OR(E208=2,E208=3,E208=4),VLOOKUP(G208,Szakmaszorzók!$B$2:$D$25,2,0),VLOOKUP(G208,Szakmaszorzók!$B$2:$D$25,3,0)))</f>
        <v>2.85</v>
      </c>
      <c r="K208" s="173">
        <f>'Támogatás szorzat tényezői'!$C$2*'Támogatás szorzat tényezői'!$C$5*J208*(H208/1000)</f>
        <v>164160</v>
      </c>
      <c r="L208" s="203" t="s">
        <v>2061</v>
      </c>
      <c r="M208" s="6">
        <f t="shared" si="18"/>
        <v>8</v>
      </c>
    </row>
    <row r="209" spans="1:13" ht="15.75" x14ac:dyDescent="0.25">
      <c r="A209" s="207">
        <v>294</v>
      </c>
      <c r="B209" s="6" t="s">
        <v>2507</v>
      </c>
      <c r="C209" s="204" t="s">
        <v>1525</v>
      </c>
      <c r="D209" s="204" t="str">
        <f t="shared" si="15"/>
        <v>0413</v>
      </c>
      <c r="E209" s="204" t="str">
        <f t="shared" si="16"/>
        <v>4</v>
      </c>
      <c r="F209" s="205" t="str">
        <f t="shared" si="17"/>
        <v>001</v>
      </c>
      <c r="G209" s="210" t="s">
        <v>1883</v>
      </c>
      <c r="H209" s="210" t="s">
        <v>1883</v>
      </c>
      <c r="I209" s="210" t="s">
        <v>1883</v>
      </c>
      <c r="J209" s="6">
        <f>IF(OR(G209="ágazaton kívüli",G209="n.a."),2.2,IF(OR(E209=2,E209=3,E209=4),VLOOKUP(G209,Szakmaszorzók!$B$2:$D$25,2,0),VLOOKUP(G209,Szakmaszorzók!$B$2:$D$25,3,0)))</f>
        <v>2.2000000000000002</v>
      </c>
      <c r="K209" s="215" t="e">
        <f>'Támogatás szorzat tényezői'!$C$2*'Támogatás szorzat tényezői'!$C$5*J209*(H209/1000)</f>
        <v>#VALUE!</v>
      </c>
      <c r="L209" s="203" t="s">
        <v>2329</v>
      </c>
      <c r="M209" s="6">
        <f t="shared" si="18"/>
        <v>8</v>
      </c>
    </row>
    <row r="210" spans="1:13" ht="15.75" x14ac:dyDescent="0.25">
      <c r="A210" s="207">
        <v>354</v>
      </c>
      <c r="B210" s="6" t="s">
        <v>2529</v>
      </c>
      <c r="C210" s="204">
        <v>10324005</v>
      </c>
      <c r="D210" s="204" t="str">
        <f t="shared" si="15"/>
        <v>1032</v>
      </c>
      <c r="E210" s="204" t="str">
        <f t="shared" si="16"/>
        <v>4</v>
      </c>
      <c r="F210" s="205" t="str">
        <f t="shared" si="17"/>
        <v>005</v>
      </c>
      <c r="G210" s="6" t="s">
        <v>1373</v>
      </c>
      <c r="H210" s="6">
        <v>320</v>
      </c>
      <c r="I210" s="6">
        <v>450</v>
      </c>
      <c r="J210" s="6">
        <f>IF(OR(G210="ágazaton kívüli",G210="n.a."),2.2,IF(OR(E210=2,E210=3,E210=4),VLOOKUP(G210,Szakmaszorzók!$B$2:$D$25,2,0),VLOOKUP(G210,Szakmaszorzók!$B$2:$D$25,3,0)))</f>
        <v>2.2000000000000002</v>
      </c>
      <c r="K210" s="173">
        <f>'Támogatás szorzat tényezői'!$C$2*'Támogatás szorzat tényezői'!$C$5*J210*(H210/1000)</f>
        <v>253440.00000000003</v>
      </c>
      <c r="L210" s="203" t="s">
        <v>2389</v>
      </c>
      <c r="M210" s="6">
        <f t="shared" si="18"/>
        <v>8</v>
      </c>
    </row>
    <row r="211" spans="1:13" ht="15.75" x14ac:dyDescent="0.25">
      <c r="A211" s="207">
        <v>280</v>
      </c>
      <c r="B211" s="6" t="s">
        <v>2725</v>
      </c>
      <c r="C211" s="204" t="s">
        <v>1628</v>
      </c>
      <c r="D211" s="204" t="str">
        <f t="shared" si="15"/>
        <v>0314</v>
      </c>
      <c r="E211" s="204" t="str">
        <f t="shared" si="16"/>
        <v>5</v>
      </c>
      <c r="F211" s="205" t="str">
        <f t="shared" si="17"/>
        <v>001</v>
      </c>
      <c r="G211" s="210" t="s">
        <v>1883</v>
      </c>
      <c r="H211" s="6">
        <v>250</v>
      </c>
      <c r="I211" s="6">
        <v>320</v>
      </c>
      <c r="J211" s="6">
        <f>IF(OR(G211="ágazaton kívüli",G211="n.a."),2.2,IF(OR(E211=2,E211=3,E211=4),VLOOKUP(G211,Szakmaszorzók!$B$2:$D$25,2,0),VLOOKUP(G211,Szakmaszorzók!$B$2:$D$25,3,0)))</f>
        <v>2.2000000000000002</v>
      </c>
      <c r="K211" s="173">
        <f>'Támogatás szorzat tényezői'!$C$2*'Támogatás szorzat tényezői'!$C$5*J211*(H211/1000)</f>
        <v>198000.00000000003</v>
      </c>
      <c r="L211" s="203" t="s">
        <v>2315</v>
      </c>
      <c r="M211" s="6">
        <f t="shared" si="18"/>
        <v>8</v>
      </c>
    </row>
    <row r="212" spans="1:13" ht="15.75" x14ac:dyDescent="0.25">
      <c r="A212" s="207">
        <v>284</v>
      </c>
      <c r="B212" s="6" t="s">
        <v>2729</v>
      </c>
      <c r="C212" s="204">
        <v>10884004</v>
      </c>
      <c r="D212" s="204" t="str">
        <f t="shared" si="15"/>
        <v>1088</v>
      </c>
      <c r="E212" s="204" t="str">
        <f t="shared" si="16"/>
        <v>4</v>
      </c>
      <c r="F212" s="205" t="str">
        <f t="shared" si="17"/>
        <v>004</v>
      </c>
      <c r="G212" s="6" t="s">
        <v>1316</v>
      </c>
      <c r="H212" s="6">
        <v>320</v>
      </c>
      <c r="I212" s="6">
        <v>400</v>
      </c>
      <c r="J212" s="6">
        <f>IF(OR(G212="ágazaton kívüli",G212="n.a."),2.2,IF(OR(E212=2,E212=3,E212=4),VLOOKUP(G212,Szakmaszorzók!$B$2:$D$25,2,0),VLOOKUP(G212,Szakmaszorzók!$B$2:$D$25,3,0)))</f>
        <v>2.85</v>
      </c>
      <c r="K212" s="173">
        <f>'Támogatás szorzat tényezői'!$C$2*'Támogatás szorzat tényezői'!$C$5*J212*(H212/1000)</f>
        <v>328320</v>
      </c>
      <c r="L212" s="203" t="s">
        <v>2319</v>
      </c>
      <c r="M212" s="6">
        <f t="shared" si="18"/>
        <v>8</v>
      </c>
    </row>
    <row r="213" spans="1:13" ht="15.75" x14ac:dyDescent="0.25">
      <c r="A213" s="207">
        <v>355</v>
      </c>
      <c r="B213" s="6" t="s">
        <v>2530</v>
      </c>
      <c r="C213" s="204">
        <v>10323010</v>
      </c>
      <c r="D213" s="204" t="str">
        <f t="shared" si="15"/>
        <v>1032</v>
      </c>
      <c r="E213" s="204" t="str">
        <f t="shared" si="16"/>
        <v>3</v>
      </c>
      <c r="F213" s="205" t="str">
        <f t="shared" si="17"/>
        <v>010</v>
      </c>
      <c r="G213" s="6" t="s">
        <v>1373</v>
      </c>
      <c r="H213" s="6">
        <v>150</v>
      </c>
      <c r="I213" s="6">
        <v>200</v>
      </c>
      <c r="J213" s="6">
        <f>IF(OR(G213="ágazaton kívüli",G213="n.a."),2.2,IF(OR(E213=2,E213=3,E213=4),VLOOKUP(G213,Szakmaszorzók!$B$2:$D$25,2,0),VLOOKUP(G213,Szakmaszorzók!$B$2:$D$25,3,0)))</f>
        <v>2.2000000000000002</v>
      </c>
      <c r="K213" s="173">
        <f>'Támogatás szorzat tényezői'!$C$2*'Támogatás szorzat tényezői'!$C$5*J213*(H213/1000)</f>
        <v>118800.00000000001</v>
      </c>
      <c r="L213" s="203" t="s">
        <v>2390</v>
      </c>
      <c r="M213" s="6">
        <f t="shared" si="18"/>
        <v>8</v>
      </c>
    </row>
    <row r="214" spans="1:13" ht="15.75" x14ac:dyDescent="0.25">
      <c r="A214" s="207">
        <v>72</v>
      </c>
      <c r="B214" s="6" t="s">
        <v>2645</v>
      </c>
      <c r="C214" s="204" t="s">
        <v>1681</v>
      </c>
      <c r="D214" s="204" t="str">
        <f t="shared" si="15"/>
        <v>0724</v>
      </c>
      <c r="E214" s="204" t="str">
        <f t="shared" si="16"/>
        <v>3</v>
      </c>
      <c r="F214" s="205" t="str">
        <f t="shared" si="17"/>
        <v>002</v>
      </c>
      <c r="G214" s="6" t="s">
        <v>1293</v>
      </c>
      <c r="H214" s="6">
        <v>400</v>
      </c>
      <c r="I214" s="6">
        <v>500</v>
      </c>
      <c r="J214" s="6">
        <f>IF(OR(G214="ágazaton kívüli",G214="n.a."),2.2,IF(OR(E214=2,E214=3,E214=4),VLOOKUP(G214,Szakmaszorzók!$B$2:$D$25,2,0),VLOOKUP(G214,Szakmaszorzók!$B$2:$D$25,3,0)))</f>
        <v>2.42</v>
      </c>
      <c r="K214" s="173">
        <f>'Támogatás szorzat tényezői'!$C$2*'Támogatás szorzat tényezői'!$C$5*J214*(H214/1000)</f>
        <v>348480</v>
      </c>
      <c r="L214" s="203" t="s">
        <v>2107</v>
      </c>
      <c r="M214" s="6">
        <f t="shared" si="18"/>
        <v>8</v>
      </c>
    </row>
    <row r="215" spans="1:13" ht="15.75" x14ac:dyDescent="0.25">
      <c r="A215" s="207">
        <v>138</v>
      </c>
      <c r="B215" s="6" t="s">
        <v>2695</v>
      </c>
      <c r="C215" s="204" t="s">
        <v>1526</v>
      </c>
      <c r="D215" s="208" t="str">
        <f t="shared" si="15"/>
        <v>0212</v>
      </c>
      <c r="E215" s="208" t="str">
        <f t="shared" si="16"/>
        <v>4</v>
      </c>
      <c r="F215" s="209" t="str">
        <f t="shared" si="17"/>
        <v>001</v>
      </c>
      <c r="G215" s="6" t="s">
        <v>1298</v>
      </c>
      <c r="H215" s="6">
        <v>600</v>
      </c>
      <c r="I215" s="6">
        <v>700</v>
      </c>
      <c r="J215" s="6">
        <f>IF(OR(G215="ágazaton kívüli",G215="n.a."),2.2,IF(OR(E215=2,E215=3,E215=4),VLOOKUP(G215,Szakmaszorzók!$B$2:$D$25,2,0),VLOOKUP(G215,Szakmaszorzók!$B$2:$D$25,3,0)))</f>
        <v>2.42</v>
      </c>
      <c r="K215" s="173">
        <f>'Támogatás szorzat tényezői'!$C$2*'Támogatás szorzat tényezői'!$C$5*J215*(H215/1000)</f>
        <v>522720</v>
      </c>
      <c r="L215" s="203" t="s">
        <v>2173</v>
      </c>
      <c r="M215" s="6">
        <f t="shared" si="18"/>
        <v>8</v>
      </c>
    </row>
    <row r="216" spans="1:13" ht="15.75" x14ac:dyDescent="0.25">
      <c r="A216" s="207">
        <v>27</v>
      </c>
      <c r="B216" s="6" t="s">
        <v>2600</v>
      </c>
      <c r="C216" s="204" t="s">
        <v>1653</v>
      </c>
      <c r="D216" s="204" t="str">
        <f t="shared" si="15"/>
        <v>0713</v>
      </c>
      <c r="E216" s="204" t="str">
        <f t="shared" si="16"/>
        <v>5</v>
      </c>
      <c r="F216" s="205" t="str">
        <f t="shared" si="17"/>
        <v>014</v>
      </c>
      <c r="G216" s="6" t="s">
        <v>1315</v>
      </c>
      <c r="H216" s="6">
        <v>400</v>
      </c>
      <c r="I216" s="6">
        <v>450</v>
      </c>
      <c r="J216" s="6">
        <f>IF(OR(G216="ágazaton kívüli",G216="n.a."),2.2,IF(OR(E216=2,E216=3,E216=4),VLOOKUP(G216,Szakmaszorzók!$B$2:$D$25,2,0),VLOOKUP(G216,Szakmaszorzók!$B$2:$D$25,3,0)))</f>
        <v>2.42</v>
      </c>
      <c r="K216" s="173">
        <f>'Támogatás szorzat tényezői'!$C$2*'Támogatás szorzat tényezői'!$C$5*J216*(H216/1000)</f>
        <v>348480</v>
      </c>
      <c r="L216" s="203" t="s">
        <v>2062</v>
      </c>
      <c r="M216" s="6">
        <f t="shared" si="18"/>
        <v>8</v>
      </c>
    </row>
    <row r="217" spans="1:13" ht="15.75" x14ac:dyDescent="0.25">
      <c r="A217" s="207">
        <v>286</v>
      </c>
      <c r="B217" s="6" t="s">
        <v>2730</v>
      </c>
      <c r="C217" s="204" t="s">
        <v>1629</v>
      </c>
      <c r="D217" s="204" t="str">
        <f t="shared" si="15"/>
        <v>0322</v>
      </c>
      <c r="E217" s="204" t="str">
        <f t="shared" si="16"/>
        <v>5</v>
      </c>
      <c r="F217" s="205" t="str">
        <f t="shared" si="17"/>
        <v>001</v>
      </c>
      <c r="G217" s="210" t="s">
        <v>1883</v>
      </c>
      <c r="H217" s="6">
        <v>450</v>
      </c>
      <c r="I217" s="6">
        <v>700</v>
      </c>
      <c r="J217" s="6">
        <f>IF(OR(G217="ágazaton kívüli",G217="n.a."),2.2,IF(OR(E217=2,E217=3,E217=4),VLOOKUP(G217,Szakmaszorzók!$B$2:$D$25,2,0),VLOOKUP(G217,Szakmaszorzók!$B$2:$D$25,3,0)))</f>
        <v>2.2000000000000002</v>
      </c>
      <c r="K217" s="173">
        <f>'Támogatás szorzat tényezői'!$C$2*'Támogatás szorzat tényezői'!$C$5*J217*(H217/1000)</f>
        <v>356400.00000000006</v>
      </c>
      <c r="L217" s="203" t="s">
        <v>2321</v>
      </c>
      <c r="M217" s="6">
        <f t="shared" si="18"/>
        <v>8</v>
      </c>
    </row>
    <row r="218" spans="1:13" ht="15.75" x14ac:dyDescent="0.25">
      <c r="A218" s="207">
        <v>126</v>
      </c>
      <c r="B218" s="6" t="s">
        <v>2683</v>
      </c>
      <c r="C218" s="204" t="s">
        <v>1693</v>
      </c>
      <c r="D218" s="208" t="str">
        <f t="shared" si="15"/>
        <v>0811</v>
      </c>
      <c r="E218" s="208" t="str">
        <f t="shared" si="16"/>
        <v>3</v>
      </c>
      <c r="F218" s="209" t="str">
        <f t="shared" si="17"/>
        <v>002</v>
      </c>
      <c r="G218" s="6" t="s">
        <v>1316</v>
      </c>
      <c r="H218" s="6">
        <v>640</v>
      </c>
      <c r="I218" s="6">
        <v>960</v>
      </c>
      <c r="J218" s="6">
        <f>IF(OR(G218="ágazaton kívüli",G218="n.a."),2.2,IF(OR(E218=2,E218=3,E218=4),VLOOKUP(G218,Szakmaszorzók!$B$2:$D$25,2,0),VLOOKUP(G218,Szakmaszorzók!$B$2:$D$25,3,0)))</f>
        <v>2.85</v>
      </c>
      <c r="K218" s="173">
        <f>'Támogatás szorzat tényezői'!$C$2*'Támogatás szorzat tényezői'!$C$5*J218*(H218/1000)</f>
        <v>656640</v>
      </c>
      <c r="L218" s="203" t="s">
        <v>2161</v>
      </c>
      <c r="M218" s="6">
        <f t="shared" si="18"/>
        <v>8</v>
      </c>
    </row>
    <row r="219" spans="1:13" ht="15.75" x14ac:dyDescent="0.25">
      <c r="A219" s="207">
        <v>356</v>
      </c>
      <c r="B219" s="6" t="s">
        <v>2531</v>
      </c>
      <c r="C219" s="204">
        <v>10325019</v>
      </c>
      <c r="D219" s="204" t="str">
        <f t="shared" si="15"/>
        <v>1032</v>
      </c>
      <c r="E219" s="204" t="str">
        <f t="shared" si="16"/>
        <v>5</v>
      </c>
      <c r="F219" s="205" t="str">
        <f t="shared" si="17"/>
        <v>019</v>
      </c>
      <c r="G219" s="6" t="s">
        <v>1373</v>
      </c>
      <c r="H219" s="6">
        <v>600</v>
      </c>
      <c r="I219" s="6">
        <v>800</v>
      </c>
      <c r="J219" s="6">
        <f>IF(OR(G219="ágazaton kívüli",G219="n.a."),2.2,IF(OR(E219=2,E219=3,E219=4),VLOOKUP(G219,Szakmaszorzók!$B$2:$D$25,2,0),VLOOKUP(G219,Szakmaszorzók!$B$2:$D$25,3,0)))</f>
        <v>2.2000000000000002</v>
      </c>
      <c r="K219" s="173">
        <f>'Támogatás szorzat tényezői'!$C$2*'Támogatás szorzat tényezői'!$C$5*J219*(H219/1000)</f>
        <v>475200.00000000006</v>
      </c>
      <c r="L219" s="203" t="s">
        <v>2391</v>
      </c>
      <c r="M219" s="6">
        <f t="shared" si="18"/>
        <v>8</v>
      </c>
    </row>
    <row r="220" spans="1:13" ht="15.75" x14ac:dyDescent="0.25">
      <c r="A220" s="207">
        <v>28</v>
      </c>
      <c r="B220" s="6" t="s">
        <v>2601</v>
      </c>
      <c r="C220" s="204" t="s">
        <v>1527</v>
      </c>
      <c r="D220" s="204" t="str">
        <f t="shared" si="15"/>
        <v>0713</v>
      </c>
      <c r="E220" s="204" t="str">
        <f t="shared" si="16"/>
        <v>4</v>
      </c>
      <c r="F220" s="205" t="str">
        <f t="shared" si="17"/>
        <v>009</v>
      </c>
      <c r="G220" s="6" t="s">
        <v>1290</v>
      </c>
      <c r="H220" s="6">
        <v>400</v>
      </c>
      <c r="I220" s="6">
        <v>500</v>
      </c>
      <c r="J220" s="6">
        <f>IF(OR(G220="ágazaton kívüli",G220="n.a."),2.2,IF(OR(E220=2,E220=3,E220=4),VLOOKUP(G220,Szakmaszorzók!$B$2:$D$25,2,0),VLOOKUP(G220,Szakmaszorzók!$B$2:$D$25,3,0)))</f>
        <v>2.85</v>
      </c>
      <c r="K220" s="173">
        <f>'Támogatás szorzat tényezői'!$C$2*'Támogatás szorzat tényezői'!$C$5*J220*(H220/1000)</f>
        <v>410400</v>
      </c>
      <c r="L220" s="203" t="s">
        <v>2063</v>
      </c>
      <c r="M220" s="6">
        <f t="shared" si="18"/>
        <v>8</v>
      </c>
    </row>
    <row r="221" spans="1:13" ht="15.75" x14ac:dyDescent="0.25">
      <c r="A221" s="207">
        <v>127</v>
      </c>
      <c r="B221" s="6" t="s">
        <v>2684</v>
      </c>
      <c r="C221" s="204" t="s">
        <v>1695</v>
      </c>
      <c r="D221" s="208" t="str">
        <f t="shared" si="15"/>
        <v>0811</v>
      </c>
      <c r="E221" s="208" t="str">
        <f t="shared" si="16"/>
        <v>3</v>
      </c>
      <c r="F221" s="209" t="str">
        <f t="shared" si="17"/>
        <v>004</v>
      </c>
      <c r="G221" s="6" t="s">
        <v>1316</v>
      </c>
      <c r="H221" s="6">
        <v>240</v>
      </c>
      <c r="I221" s="6">
        <v>360</v>
      </c>
      <c r="J221" s="6">
        <f>IF(OR(G221="ágazaton kívüli",G221="n.a."),2.2,IF(OR(E221=2,E221=3,E221=4),VLOOKUP(G221,Szakmaszorzók!$B$2:$D$25,2,0),VLOOKUP(G221,Szakmaszorzók!$B$2:$D$25,3,0)))</f>
        <v>2.85</v>
      </c>
      <c r="K221" s="173">
        <f>'Támogatás szorzat tényezői'!$C$2*'Támogatás szorzat tényezői'!$C$5*J221*(H221/1000)</f>
        <v>246240</v>
      </c>
      <c r="L221" s="203" t="s">
        <v>2162</v>
      </c>
      <c r="M221" s="6">
        <f t="shared" si="18"/>
        <v>8</v>
      </c>
    </row>
    <row r="222" spans="1:13" ht="15.75" x14ac:dyDescent="0.25">
      <c r="A222" s="207">
        <v>73</v>
      </c>
      <c r="B222" s="6" t="s">
        <v>2646</v>
      </c>
      <c r="C222" s="204" t="s">
        <v>1528</v>
      </c>
      <c r="D222" s="204" t="str">
        <f t="shared" si="15"/>
        <v>0724</v>
      </c>
      <c r="E222" s="204" t="str">
        <f t="shared" si="16"/>
        <v>3</v>
      </c>
      <c r="F222" s="205" t="str">
        <f t="shared" si="17"/>
        <v>001</v>
      </c>
      <c r="G222" s="6" t="s">
        <v>1293</v>
      </c>
      <c r="H222" s="6">
        <v>400</v>
      </c>
      <c r="I222" s="6">
        <v>600</v>
      </c>
      <c r="J222" s="6">
        <f>IF(OR(G222="ágazaton kívüli",G222="n.a."),2.2,IF(OR(E222=2,E222=3,E222=4),VLOOKUP(G222,Szakmaszorzók!$B$2:$D$25,2,0),VLOOKUP(G222,Szakmaszorzók!$B$2:$D$25,3,0)))</f>
        <v>2.42</v>
      </c>
      <c r="K222" s="173">
        <f>'Támogatás szorzat tényezői'!$C$2*'Támogatás szorzat tényezői'!$C$5*J222*(H222/1000)</f>
        <v>348480</v>
      </c>
      <c r="L222" s="203" t="s">
        <v>2108</v>
      </c>
      <c r="M222" s="6">
        <f t="shared" si="18"/>
        <v>8</v>
      </c>
    </row>
    <row r="223" spans="1:13" ht="15.75" x14ac:dyDescent="0.25">
      <c r="A223" s="207">
        <v>122</v>
      </c>
      <c r="B223" s="6" t="s">
        <v>2679</v>
      </c>
      <c r="C223" s="204" t="s">
        <v>1698</v>
      </c>
      <c r="D223" s="208" t="str">
        <f t="shared" si="15"/>
        <v>0819</v>
      </c>
      <c r="E223" s="208" t="str">
        <f t="shared" si="16"/>
        <v>4</v>
      </c>
      <c r="F223" s="209" t="str">
        <f t="shared" si="17"/>
        <v>001</v>
      </c>
      <c r="G223" s="6" t="s">
        <v>1316</v>
      </c>
      <c r="H223" s="6">
        <v>600</v>
      </c>
      <c r="I223" s="6">
        <v>1000</v>
      </c>
      <c r="J223" s="6">
        <f>IF(OR(G223="ágazaton kívüli",G223="n.a."),2.2,IF(OR(E223=2,E223=3,E223=4),VLOOKUP(G223,Szakmaszorzók!$B$2:$D$25,2,0),VLOOKUP(G223,Szakmaszorzók!$B$2:$D$25,3,0)))</f>
        <v>2.85</v>
      </c>
      <c r="K223" s="173">
        <f>'Támogatás szorzat tényezői'!$C$2*'Támogatás szorzat tényezői'!$C$5*J223*(H223/1000)</f>
        <v>615600</v>
      </c>
      <c r="L223" s="203" t="s">
        <v>2157</v>
      </c>
      <c r="M223" s="6">
        <f t="shared" si="18"/>
        <v>8</v>
      </c>
    </row>
    <row r="224" spans="1:13" ht="15.75" x14ac:dyDescent="0.25">
      <c r="A224" s="207">
        <v>113</v>
      </c>
      <c r="B224" s="6" t="s">
        <v>2423</v>
      </c>
      <c r="C224" s="204" t="s">
        <v>1640</v>
      </c>
      <c r="D224" s="204" t="str">
        <f t="shared" si="15"/>
        <v>0613</v>
      </c>
      <c r="E224" s="204" t="str">
        <f t="shared" si="16"/>
        <v>5</v>
      </c>
      <c r="F224" s="205" t="str">
        <f t="shared" si="17"/>
        <v>002</v>
      </c>
      <c r="G224" s="6" t="s">
        <v>1353</v>
      </c>
      <c r="H224" s="6">
        <v>400</v>
      </c>
      <c r="I224" s="6">
        <v>550</v>
      </c>
      <c r="J224" s="6">
        <f>IF(OR(G224="ágazaton kívüli",G224="n.a."),2.2,IF(OR(E224=2,E224=3,E224=4),VLOOKUP(G224,Szakmaszorzók!$B$2:$D$25,2,0),VLOOKUP(G224,Szakmaszorzók!$B$2:$D$25,3,0)))</f>
        <v>2.2000000000000002</v>
      </c>
      <c r="K224" s="173">
        <f>'Támogatás szorzat tényezői'!$C$2*'Támogatás szorzat tényezői'!$C$5*J224*(H224/1000)</f>
        <v>316800.00000000006</v>
      </c>
      <c r="L224" s="203" t="s">
        <v>2148</v>
      </c>
      <c r="M224" s="6">
        <f t="shared" si="18"/>
        <v>8</v>
      </c>
    </row>
    <row r="225" spans="1:13" ht="15.75" x14ac:dyDescent="0.25">
      <c r="A225" s="207">
        <v>74</v>
      </c>
      <c r="B225" s="6" t="s">
        <v>2647</v>
      </c>
      <c r="C225" s="204" t="s">
        <v>1676</v>
      </c>
      <c r="D225" s="204" t="str">
        <f t="shared" si="15"/>
        <v>0721</v>
      </c>
      <c r="E225" s="204" t="str">
        <f t="shared" si="16"/>
        <v>4</v>
      </c>
      <c r="F225" s="205" t="str">
        <f t="shared" si="17"/>
        <v>002</v>
      </c>
      <c r="G225" s="216" t="s">
        <v>1296</v>
      </c>
      <c r="H225" s="6">
        <v>520</v>
      </c>
      <c r="I225" s="6">
        <v>600</v>
      </c>
      <c r="J225" s="6">
        <f>IF(OR(G225="ágazaton kívüli",G225="n.a."),2.2,IF(OR(E225=2,E225=3,E225=4),VLOOKUP(G225,Szakmaszorzók!$B$2:$D$25,2,0),VLOOKUP(G225,Szakmaszorzók!$B$2:$D$25,3,0)))</f>
        <v>2.2000000000000002</v>
      </c>
      <c r="K225" s="173">
        <f>'Támogatás szorzat tényezői'!$C$2*'Támogatás szorzat tényezői'!$C$5*J225*(H225/1000)</f>
        <v>411840.00000000006</v>
      </c>
      <c r="L225" s="203" t="s">
        <v>2109</v>
      </c>
      <c r="M225" s="6">
        <f t="shared" si="18"/>
        <v>8</v>
      </c>
    </row>
    <row r="226" spans="1:13" ht="15.75" x14ac:dyDescent="0.25">
      <c r="A226" s="207">
        <v>39</v>
      </c>
      <c r="B226" s="6" t="s">
        <v>2612</v>
      </c>
      <c r="C226" s="204" t="s">
        <v>1529</v>
      </c>
      <c r="D226" s="204" t="str">
        <f t="shared" si="15"/>
        <v>0715</v>
      </c>
      <c r="E226" s="204" t="str">
        <f t="shared" si="16"/>
        <v>3</v>
      </c>
      <c r="F226" s="205" t="str">
        <f t="shared" si="17"/>
        <v>003</v>
      </c>
      <c r="G226" s="6" t="s">
        <v>1301</v>
      </c>
      <c r="H226" s="6">
        <v>120</v>
      </c>
      <c r="I226" s="6">
        <v>180</v>
      </c>
      <c r="J226" s="6">
        <f>IF(OR(G226="ágazaton kívüli",G226="n.a."),2.2,IF(OR(E226=2,E226=3,E226=4),VLOOKUP(G226,Szakmaszorzók!$B$2:$D$25,2,0),VLOOKUP(G226,Szakmaszorzók!$B$2:$D$25,3,0)))</f>
        <v>2.85</v>
      </c>
      <c r="K226" s="173">
        <f>'Támogatás szorzat tényezői'!$C$2*'Támogatás szorzat tényezői'!$C$5*J226*(H226/1000)</f>
        <v>123120</v>
      </c>
      <c r="L226" s="203" t="s">
        <v>2074</v>
      </c>
      <c r="M226" s="6">
        <f t="shared" si="18"/>
        <v>8</v>
      </c>
    </row>
    <row r="227" spans="1:13" ht="15.75" x14ac:dyDescent="0.25">
      <c r="A227" s="207">
        <v>114</v>
      </c>
      <c r="B227" s="6" t="s">
        <v>2424</v>
      </c>
      <c r="C227" s="204" t="s">
        <v>1641</v>
      </c>
      <c r="D227" s="204" t="str">
        <f t="shared" si="15"/>
        <v>0613</v>
      </c>
      <c r="E227" s="204" t="str">
        <f t="shared" si="16"/>
        <v>5</v>
      </c>
      <c r="F227" s="205" t="str">
        <f t="shared" si="17"/>
        <v>003</v>
      </c>
      <c r="G227" s="6" t="s">
        <v>1353</v>
      </c>
      <c r="H227" s="6">
        <v>400</v>
      </c>
      <c r="I227" s="6">
        <v>550</v>
      </c>
      <c r="J227" s="6">
        <f>IF(OR(G227="ágazaton kívüli",G227="n.a."),2.2,IF(OR(E227=2,E227=3,E227=4),VLOOKUP(G227,Szakmaszorzók!$B$2:$D$25,2,0),VLOOKUP(G227,Szakmaszorzók!$B$2:$D$25,3,0)))</f>
        <v>2.2000000000000002</v>
      </c>
      <c r="K227" s="173">
        <f>'Támogatás szorzat tényezői'!$C$2*'Támogatás szorzat tényezői'!$C$5*J227*(H227/1000)</f>
        <v>316800.00000000006</v>
      </c>
      <c r="L227" s="203" t="s">
        <v>2149</v>
      </c>
      <c r="M227" s="6">
        <f t="shared" si="18"/>
        <v>8</v>
      </c>
    </row>
    <row r="228" spans="1:13" ht="15.75" x14ac:dyDescent="0.25">
      <c r="A228" s="207">
        <v>296</v>
      </c>
      <c r="B228" s="6" t="s">
        <v>2777</v>
      </c>
      <c r="C228" s="204" t="s">
        <v>2800</v>
      </c>
      <c r="D228" s="204" t="str">
        <f t="shared" si="15"/>
        <v>0417</v>
      </c>
      <c r="E228" s="204" t="str">
        <f t="shared" si="16"/>
        <v>5</v>
      </c>
      <c r="F228" s="205" t="str">
        <f t="shared" si="17"/>
        <v>001</v>
      </c>
      <c r="G228" s="6" t="s">
        <v>1389</v>
      </c>
      <c r="H228" s="6">
        <v>240</v>
      </c>
      <c r="I228" s="6">
        <v>360</v>
      </c>
      <c r="J228" s="6">
        <f>IF(OR(G228="ágazaton kívüli",G228="n.a."),2.2,IF(OR(E228=2,E228=3,E228=4),VLOOKUP(G228,Szakmaszorzók!$B$2:$D$25,2,0),VLOOKUP(G228,Szakmaszorzók!$B$2:$D$25,3,0)))</f>
        <v>2.2000000000000002</v>
      </c>
      <c r="K228" s="173">
        <f>'Támogatás szorzat tényezői'!$C$2*'Támogatás szorzat tényezői'!$C$5*J228*(H228/1000)</f>
        <v>190080.00000000003</v>
      </c>
      <c r="L228" s="203" t="s">
        <v>2331</v>
      </c>
      <c r="M228" s="6">
        <f t="shared" si="18"/>
        <v>8</v>
      </c>
    </row>
    <row r="229" spans="1:13" ht="15.75" x14ac:dyDescent="0.25">
      <c r="A229" s="207">
        <v>95</v>
      </c>
      <c r="B229" s="6" t="s">
        <v>2666</v>
      </c>
      <c r="C229" s="204" t="s">
        <v>1530</v>
      </c>
      <c r="D229" s="204" t="str">
        <f t="shared" si="15"/>
        <v>0723</v>
      </c>
      <c r="E229" s="204" t="str">
        <f t="shared" si="16"/>
        <v>4</v>
      </c>
      <c r="F229" s="205" t="str">
        <f t="shared" si="17"/>
        <v>003</v>
      </c>
      <c r="G229" s="6" t="s">
        <v>1298</v>
      </c>
      <c r="H229" s="6">
        <v>900</v>
      </c>
      <c r="I229" s="6">
        <v>1200</v>
      </c>
      <c r="J229" s="6">
        <f>IF(OR(G229="ágazaton kívüli",G229="n.a."),2.2,IF(OR(E229=2,E229=3,E229=4),VLOOKUP(G229,Szakmaszorzók!$B$2:$D$25,2,0),VLOOKUP(G229,Szakmaszorzók!$B$2:$D$25,3,0)))</f>
        <v>2.42</v>
      </c>
      <c r="K229" s="173">
        <f>'Támogatás szorzat tényezői'!$C$2*'Támogatás szorzat tényezői'!$C$5*J229*(H229/1000)</f>
        <v>784080</v>
      </c>
      <c r="L229" s="203" t="s">
        <v>2130</v>
      </c>
      <c r="M229" s="6">
        <f t="shared" si="18"/>
        <v>8</v>
      </c>
    </row>
    <row r="230" spans="1:13" ht="15.75" x14ac:dyDescent="0.25">
      <c r="A230" s="207">
        <v>117</v>
      </c>
      <c r="B230" s="6" t="s">
        <v>2675</v>
      </c>
      <c r="C230" s="204">
        <v>10224002</v>
      </c>
      <c r="D230" s="204" t="str">
        <f t="shared" si="15"/>
        <v>1022</v>
      </c>
      <c r="E230" s="204" t="str">
        <f t="shared" si="16"/>
        <v>4</v>
      </c>
      <c r="F230" s="205" t="str">
        <f t="shared" si="17"/>
        <v>002</v>
      </c>
      <c r="G230" s="6" t="s">
        <v>1709</v>
      </c>
      <c r="H230" s="6">
        <v>300</v>
      </c>
      <c r="I230" s="6">
        <v>400</v>
      </c>
      <c r="J230" s="6">
        <f>IF(OR(G230="ágazaton kívüli",G230="n.a."),2.2,IF(OR(E230=2,E230=3,E230=4),VLOOKUP(G230,Szakmaszorzók!$B$2:$D$25,2,0),VLOOKUP(G230,Szakmaszorzók!$B$2:$D$25,3,0)))</f>
        <v>2.2000000000000002</v>
      </c>
      <c r="K230" s="173">
        <f>'Támogatás szorzat tényezői'!$C$2*'Támogatás szorzat tényezői'!$C$5*J230*(H230/1000)</f>
        <v>237600.00000000003</v>
      </c>
      <c r="L230" s="203" t="s">
        <v>2152</v>
      </c>
      <c r="M230" s="6">
        <f t="shared" si="18"/>
        <v>8</v>
      </c>
    </row>
    <row r="231" spans="1:13" ht="15.75" x14ac:dyDescent="0.25">
      <c r="A231" s="207">
        <v>86</v>
      </c>
      <c r="B231" s="6" t="s">
        <v>2657</v>
      </c>
      <c r="C231" s="204" t="s">
        <v>1531</v>
      </c>
      <c r="D231" s="204" t="str">
        <f t="shared" si="15"/>
        <v>0722</v>
      </c>
      <c r="E231" s="204" t="str">
        <f t="shared" si="16"/>
        <v>3</v>
      </c>
      <c r="F231" s="205" t="str">
        <f t="shared" si="17"/>
        <v>004</v>
      </c>
      <c r="G231" s="6" t="s">
        <v>1280</v>
      </c>
      <c r="H231" s="6">
        <v>160</v>
      </c>
      <c r="I231" s="6">
        <v>240</v>
      </c>
      <c r="J231" s="6">
        <f>IF(OR(G231="ágazaton kívüli",G231="n.a."),2.2,IF(OR(E231=2,E231=3,E231=4),VLOOKUP(G231,Szakmaszorzók!$B$2:$D$25,2,0),VLOOKUP(G231,Szakmaszorzók!$B$2:$D$25,3,0)))</f>
        <v>2.85</v>
      </c>
      <c r="K231" s="173">
        <f>'Támogatás szorzat tényezői'!$C$2*'Támogatás szorzat tényezői'!$C$5*J231*(H231/1000)</f>
        <v>164160</v>
      </c>
      <c r="L231" s="203" t="s">
        <v>2121</v>
      </c>
      <c r="M231" s="6">
        <f t="shared" si="18"/>
        <v>8</v>
      </c>
    </row>
    <row r="232" spans="1:13" ht="15.75" x14ac:dyDescent="0.25">
      <c r="A232" s="207">
        <v>62</v>
      </c>
      <c r="B232" s="6" t="s">
        <v>2635</v>
      </c>
      <c r="C232" s="204" t="s">
        <v>1687</v>
      </c>
      <c r="D232" s="204" t="str">
        <f t="shared" si="15"/>
        <v>0732</v>
      </c>
      <c r="E232" s="204" t="str">
        <f t="shared" si="16"/>
        <v>5</v>
      </c>
      <c r="F232" s="205" t="str">
        <f t="shared" si="17"/>
        <v>010</v>
      </c>
      <c r="G232" s="6" t="s">
        <v>1282</v>
      </c>
      <c r="H232" s="6">
        <v>500</v>
      </c>
      <c r="I232" s="6">
        <v>980</v>
      </c>
      <c r="J232" s="6">
        <f>IF(OR(G232="ágazaton kívüli",G232="n.a."),2.2,IF(OR(E232=2,E232=3,E232=4),VLOOKUP(G232,Szakmaszorzók!$B$2:$D$25,2,0),VLOOKUP(G232,Szakmaszorzók!$B$2:$D$25,3,0)))</f>
        <v>2.42</v>
      </c>
      <c r="K232" s="173">
        <f>'Támogatás szorzat tényezői'!$C$2*'Támogatás szorzat tényezői'!$C$5*J232*(H232/1000)</f>
        <v>435600</v>
      </c>
      <c r="L232" s="203" t="s">
        <v>2097</v>
      </c>
      <c r="M232" s="6">
        <f t="shared" si="18"/>
        <v>8</v>
      </c>
    </row>
    <row r="233" spans="1:13" ht="15.75" x14ac:dyDescent="0.25">
      <c r="A233" s="207">
        <v>63</v>
      </c>
      <c r="B233" s="6" t="s">
        <v>2636</v>
      </c>
      <c r="C233" s="204" t="s">
        <v>2786</v>
      </c>
      <c r="D233" s="204" t="str">
        <f t="shared" si="15"/>
        <v>0732</v>
      </c>
      <c r="E233" s="204" t="str">
        <f t="shared" si="16"/>
        <v>4</v>
      </c>
      <c r="F233" s="205" t="str">
        <f t="shared" si="17"/>
        <v>003</v>
      </c>
      <c r="G233" s="6" t="s">
        <v>1282</v>
      </c>
      <c r="H233" s="6">
        <v>400</v>
      </c>
      <c r="I233" s="6">
        <v>500</v>
      </c>
      <c r="J233" s="6">
        <f>IF(OR(G233="ágazaton kívüli",G233="n.a."),2.2,IF(OR(E233=2,E233=3,E233=4),VLOOKUP(G233,Szakmaszorzók!$B$2:$D$25,2,0),VLOOKUP(G233,Szakmaszorzók!$B$2:$D$25,3,0)))</f>
        <v>2.42</v>
      </c>
      <c r="K233" s="173">
        <f>'Támogatás szorzat tényezői'!$C$2*'Támogatás szorzat tényezői'!$C$5*J233*(H233/1000)</f>
        <v>348480</v>
      </c>
      <c r="L233" s="203" t="s">
        <v>2098</v>
      </c>
      <c r="M233" s="6">
        <f t="shared" si="18"/>
        <v>8</v>
      </c>
    </row>
    <row r="234" spans="1:13" ht="15.75" x14ac:dyDescent="0.25">
      <c r="A234" s="207">
        <v>64</v>
      </c>
      <c r="B234" s="6" t="s">
        <v>2637</v>
      </c>
      <c r="C234" s="204" t="s">
        <v>1688</v>
      </c>
      <c r="D234" s="204" t="str">
        <f t="shared" si="15"/>
        <v>0732</v>
      </c>
      <c r="E234" s="204" t="str">
        <f t="shared" si="16"/>
        <v>4</v>
      </c>
      <c r="F234" s="205" t="str">
        <f t="shared" si="17"/>
        <v>011</v>
      </c>
      <c r="G234" s="6" t="s">
        <v>1282</v>
      </c>
      <c r="H234" s="6">
        <v>350</v>
      </c>
      <c r="I234" s="6">
        <v>400</v>
      </c>
      <c r="J234" s="6">
        <f>IF(OR(G234="ágazaton kívüli",G234="n.a."),2.2,IF(OR(E234=2,E234=3,E234=4),VLOOKUP(G234,Szakmaszorzók!$B$2:$D$25,2,0),VLOOKUP(G234,Szakmaszorzók!$B$2:$D$25,3,0)))</f>
        <v>2.42</v>
      </c>
      <c r="K234" s="173">
        <f>'Támogatás szorzat tényezői'!$C$2*'Támogatás szorzat tényezői'!$C$5*J234*(H234/1000)</f>
        <v>304920</v>
      </c>
      <c r="L234" s="203" t="s">
        <v>2099</v>
      </c>
      <c r="M234" s="6">
        <f t="shared" si="18"/>
        <v>8</v>
      </c>
    </row>
    <row r="235" spans="1:13" ht="15.75" x14ac:dyDescent="0.25">
      <c r="A235" s="207">
        <v>107</v>
      </c>
      <c r="B235" s="6" t="s">
        <v>2418</v>
      </c>
      <c r="C235" s="204" t="s">
        <v>1648</v>
      </c>
      <c r="D235" s="204" t="str">
        <f t="shared" si="15"/>
        <v>0619</v>
      </c>
      <c r="E235" s="204" t="str">
        <f t="shared" si="16"/>
        <v>5</v>
      </c>
      <c r="F235" s="205" t="str">
        <f t="shared" si="17"/>
        <v>003</v>
      </c>
      <c r="G235" s="6" t="s">
        <v>1353</v>
      </c>
      <c r="H235" s="6">
        <v>350</v>
      </c>
      <c r="I235" s="6">
        <v>400</v>
      </c>
      <c r="J235" s="6">
        <f>IF(OR(G235="ágazaton kívüli",G235="n.a."),2.2,IF(OR(E235=2,E235=3,E235=4),VLOOKUP(G235,Szakmaszorzók!$B$2:$D$25,2,0),VLOOKUP(G235,Szakmaszorzók!$B$2:$D$25,3,0)))</f>
        <v>2.2000000000000002</v>
      </c>
      <c r="K235" s="173">
        <f>'Támogatás szorzat tényezői'!$C$2*'Támogatás szorzat tényezői'!$C$5*J235*(H235/1000)</f>
        <v>277200</v>
      </c>
      <c r="L235" s="203" t="s">
        <v>2142</v>
      </c>
      <c r="M235" s="6">
        <f t="shared" si="18"/>
        <v>8</v>
      </c>
    </row>
    <row r="236" spans="1:13" ht="15.75" x14ac:dyDescent="0.25">
      <c r="A236" s="207">
        <v>307</v>
      </c>
      <c r="B236" s="6" t="s">
        <v>2515</v>
      </c>
      <c r="C236" s="204" t="s">
        <v>1532</v>
      </c>
      <c r="D236" s="204" t="str">
        <f t="shared" si="15"/>
        <v>0416</v>
      </c>
      <c r="E236" s="204" t="str">
        <f t="shared" si="16"/>
        <v>3</v>
      </c>
      <c r="F236" s="205" t="str">
        <f t="shared" si="17"/>
        <v>008</v>
      </c>
      <c r="G236" s="6" t="s">
        <v>1351</v>
      </c>
      <c r="H236" s="6">
        <v>80</v>
      </c>
      <c r="I236" s="6">
        <v>120</v>
      </c>
      <c r="J236" s="6">
        <f>IF(OR(G236="ágazaton kívüli",G236="n.a."),2.2,IF(OR(E236=2,E236=3,E236=4),VLOOKUP(G236,Szakmaszorzók!$B$2:$D$25,2,0),VLOOKUP(G236,Szakmaszorzók!$B$2:$D$25,3,0)))</f>
        <v>2.2000000000000002</v>
      </c>
      <c r="K236" s="173">
        <f>'Támogatás szorzat tényezői'!$C$2*'Támogatás szorzat tényezői'!$C$5*J236*(H236/1000)</f>
        <v>63360.000000000007</v>
      </c>
      <c r="L236" s="203" t="s">
        <v>2342</v>
      </c>
      <c r="M236" s="6">
        <f t="shared" si="18"/>
        <v>8</v>
      </c>
    </row>
    <row r="237" spans="1:13" ht="15.75" x14ac:dyDescent="0.25">
      <c r="A237" s="207">
        <v>48</v>
      </c>
      <c r="B237" s="6" t="s">
        <v>2621</v>
      </c>
      <c r="C237" s="204" t="s">
        <v>1533</v>
      </c>
      <c r="D237" s="204" t="str">
        <f t="shared" si="15"/>
        <v>0711</v>
      </c>
      <c r="E237" s="204" t="str">
        <f t="shared" si="16"/>
        <v>5</v>
      </c>
      <c r="F237" s="205" t="str">
        <f t="shared" si="17"/>
        <v>002</v>
      </c>
      <c r="G237" s="6" t="s">
        <v>1280</v>
      </c>
      <c r="H237" s="6">
        <v>480</v>
      </c>
      <c r="I237" s="6">
        <v>720</v>
      </c>
      <c r="J237" s="6">
        <f>IF(OR(G237="ágazaton kívüli",G237="n.a."),2.2,IF(OR(E237=2,E237=3,E237=4),VLOOKUP(G237,Szakmaszorzók!$B$2:$D$25,2,0),VLOOKUP(G237,Szakmaszorzók!$B$2:$D$25,3,0)))</f>
        <v>2.85</v>
      </c>
      <c r="K237" s="173">
        <f>'Támogatás szorzat tényezői'!$C$2*'Támogatás szorzat tényezői'!$C$5*J237*(H237/1000)</f>
        <v>492480</v>
      </c>
      <c r="L237" s="203" t="s">
        <v>2083</v>
      </c>
      <c r="M237" s="6">
        <f t="shared" si="18"/>
        <v>8</v>
      </c>
    </row>
    <row r="238" spans="1:13" ht="15.75" x14ac:dyDescent="0.25">
      <c r="A238" s="207">
        <v>308</v>
      </c>
      <c r="B238" s="6" t="s">
        <v>2516</v>
      </c>
      <c r="C238" s="204" t="s">
        <v>1534</v>
      </c>
      <c r="D238" s="204" t="str">
        <f t="shared" si="15"/>
        <v>0416</v>
      </c>
      <c r="E238" s="204" t="str">
        <f t="shared" si="16"/>
        <v>4</v>
      </c>
      <c r="F238" s="205" t="str">
        <f t="shared" si="17"/>
        <v>004</v>
      </c>
      <c r="G238" s="6" t="s">
        <v>1351</v>
      </c>
      <c r="H238" s="6">
        <v>200</v>
      </c>
      <c r="I238" s="6">
        <v>300</v>
      </c>
      <c r="J238" s="6">
        <f>IF(OR(G238="ágazaton kívüli",G238="n.a."),2.2,IF(OR(E238=2,E238=3,E238=4),VLOOKUP(G238,Szakmaszorzók!$B$2:$D$25,2,0),VLOOKUP(G238,Szakmaszorzók!$B$2:$D$25,3,0)))</f>
        <v>2.2000000000000002</v>
      </c>
      <c r="K238" s="173">
        <f>'Támogatás szorzat tényezői'!$C$2*'Támogatás szorzat tényezői'!$C$5*J238*(H238/1000)</f>
        <v>158400.00000000003</v>
      </c>
      <c r="L238" s="203" t="s">
        <v>2343</v>
      </c>
      <c r="M238" s="6">
        <f t="shared" si="18"/>
        <v>8</v>
      </c>
    </row>
    <row r="239" spans="1:13" ht="15.75" x14ac:dyDescent="0.25">
      <c r="A239" s="207">
        <v>150</v>
      </c>
      <c r="B239" s="6" t="s">
        <v>2697</v>
      </c>
      <c r="C239" s="204" t="s">
        <v>1619</v>
      </c>
      <c r="D239" s="208" t="str">
        <f t="shared" si="15"/>
        <v>0213</v>
      </c>
      <c r="E239" s="208" t="str">
        <f t="shared" si="16"/>
        <v>5</v>
      </c>
      <c r="F239" s="209" t="str">
        <f t="shared" si="17"/>
        <v>012</v>
      </c>
      <c r="G239" s="210" t="s">
        <v>1883</v>
      </c>
      <c r="H239" s="6">
        <v>320</v>
      </c>
      <c r="I239" s="6">
        <v>480</v>
      </c>
      <c r="J239" s="6">
        <f>IF(OR(G239="ágazaton kívüli",G239="n.a."),2.2,IF(OR(E239=2,E239=3,E239=4),VLOOKUP(G239,Szakmaszorzók!$B$2:$D$25,2,0),VLOOKUP(G239,Szakmaszorzók!$B$2:$D$25,3,0)))</f>
        <v>2.2000000000000002</v>
      </c>
      <c r="K239" s="173">
        <f>'Támogatás szorzat tényezői'!$C$2*'Támogatás szorzat tényezői'!$C$5*J239*(H239/1000)</f>
        <v>253440.00000000003</v>
      </c>
      <c r="L239" s="203" t="s">
        <v>2185</v>
      </c>
      <c r="M239" s="6">
        <f t="shared" si="18"/>
        <v>8</v>
      </c>
    </row>
    <row r="240" spans="1:13" ht="15.75" x14ac:dyDescent="0.25">
      <c r="A240" s="207">
        <v>151</v>
      </c>
      <c r="B240" s="6" t="s">
        <v>2698</v>
      </c>
      <c r="C240" s="204" t="s">
        <v>1618</v>
      </c>
      <c r="D240" s="208" t="str">
        <f t="shared" si="15"/>
        <v>0213</v>
      </c>
      <c r="E240" s="208" t="str">
        <f t="shared" si="16"/>
        <v>5</v>
      </c>
      <c r="F240" s="209" t="str">
        <f t="shared" si="17"/>
        <v>011</v>
      </c>
      <c r="G240" s="210" t="s">
        <v>1883</v>
      </c>
      <c r="H240" s="6">
        <v>320</v>
      </c>
      <c r="I240" s="6">
        <v>480</v>
      </c>
      <c r="J240" s="6">
        <f>IF(OR(G240="ágazaton kívüli",G240="n.a."),2.2,IF(OR(E240=2,E240=3,E240=4),VLOOKUP(G240,Szakmaszorzók!$B$2:$D$25,2,0),VLOOKUP(G240,Szakmaszorzók!$B$2:$D$25,3,0)))</f>
        <v>2.2000000000000002</v>
      </c>
      <c r="K240" s="173">
        <f>'Támogatás szorzat tényezői'!$C$2*'Támogatás szorzat tényezői'!$C$5*J240*(H240/1000)</f>
        <v>253440.00000000003</v>
      </c>
      <c r="L240" s="203" t="s">
        <v>2186</v>
      </c>
      <c r="M240" s="6">
        <f t="shared" si="18"/>
        <v>8</v>
      </c>
    </row>
    <row r="241" spans="1:13" ht="15.75" x14ac:dyDescent="0.25">
      <c r="A241" s="207">
        <v>51</v>
      </c>
      <c r="B241" s="6" t="s">
        <v>2624</v>
      </c>
      <c r="C241" s="204" t="s">
        <v>2782</v>
      </c>
      <c r="D241" s="204" t="str">
        <f t="shared" si="15"/>
        <v>0913</v>
      </c>
      <c r="E241" s="204" t="str">
        <f t="shared" si="16"/>
        <v>4</v>
      </c>
      <c r="F241" s="205" t="str">
        <f t="shared" si="17"/>
        <v>002</v>
      </c>
      <c r="G241" s="6" t="s">
        <v>1285</v>
      </c>
      <c r="H241" s="6">
        <v>300</v>
      </c>
      <c r="I241" s="6">
        <v>330</v>
      </c>
      <c r="J241" s="6">
        <f>IF(OR(G241="ágazaton kívüli",G241="n.a."),2.2,IF(OR(E241=2,E241=3,E241=4),VLOOKUP(G241,Szakmaszorzók!$B$2:$D$25,2,0),VLOOKUP(G241,Szakmaszorzók!$B$2:$D$25,3,0)))</f>
        <v>2.2000000000000002</v>
      </c>
      <c r="K241" s="173">
        <f>'Támogatás szorzat tényezői'!$C$2*'Támogatás szorzat tényezői'!$C$5*J241*(H241/1000)</f>
        <v>237600.00000000003</v>
      </c>
      <c r="L241" s="203" t="s">
        <v>2086</v>
      </c>
      <c r="M241" s="6">
        <f t="shared" si="18"/>
        <v>8</v>
      </c>
    </row>
    <row r="242" spans="1:13" ht="15.75" x14ac:dyDescent="0.25">
      <c r="A242" s="207">
        <v>155</v>
      </c>
      <c r="B242" s="6" t="s">
        <v>2702</v>
      </c>
      <c r="C242" s="204" t="s">
        <v>1620</v>
      </c>
      <c r="D242" s="208" t="str">
        <f t="shared" si="15"/>
        <v>0214</v>
      </c>
      <c r="E242" s="208" t="str">
        <f t="shared" si="16"/>
        <v>5</v>
      </c>
      <c r="F242" s="209" t="str">
        <f t="shared" si="17"/>
        <v>018</v>
      </c>
      <c r="G242" s="6" t="s">
        <v>1298</v>
      </c>
      <c r="H242" s="6">
        <v>180</v>
      </c>
      <c r="I242" s="6">
        <v>200</v>
      </c>
      <c r="J242" s="6">
        <f>IF(OR(G242="ágazaton kívüli",G242="n.a."),2.2,IF(OR(E242=2,E242=3,E242=4),VLOOKUP(G242,Szakmaszorzók!$B$2:$D$25,2,0),VLOOKUP(G242,Szakmaszorzók!$B$2:$D$25,3,0)))</f>
        <v>2.42</v>
      </c>
      <c r="K242" s="173">
        <f>'Támogatás szorzat tényezői'!$C$2*'Támogatás szorzat tényezői'!$C$5*J242*(H242/1000)</f>
        <v>156816</v>
      </c>
      <c r="L242" s="203" t="s">
        <v>2190</v>
      </c>
      <c r="M242" s="6">
        <f t="shared" si="18"/>
        <v>8</v>
      </c>
    </row>
    <row r="243" spans="1:13" ht="15.75" x14ac:dyDescent="0.25">
      <c r="A243" s="207">
        <v>156</v>
      </c>
      <c r="B243" s="6" t="s">
        <v>2541</v>
      </c>
      <c r="C243" s="204" t="s">
        <v>1535</v>
      </c>
      <c r="D243" s="208" t="str">
        <f t="shared" si="15"/>
        <v>0214</v>
      </c>
      <c r="E243" s="208" t="str">
        <f t="shared" si="16"/>
        <v>3</v>
      </c>
      <c r="F243" s="209" t="str">
        <f t="shared" si="17"/>
        <v>002</v>
      </c>
      <c r="G243" s="210" t="s">
        <v>1883</v>
      </c>
      <c r="H243" s="6">
        <v>100</v>
      </c>
      <c r="I243" s="6">
        <v>150</v>
      </c>
      <c r="J243" s="6">
        <f>IF(OR(G243="ágazaton kívüli",G243="n.a."),2.2,IF(OR(E243=2,E243=3,E243=4),VLOOKUP(G243,Szakmaszorzók!$B$2:$D$25,2,0),VLOOKUP(G243,Szakmaszorzók!$B$2:$D$25,3,0)))</f>
        <v>2.2000000000000002</v>
      </c>
      <c r="K243" s="173">
        <f>'Támogatás szorzat tényezői'!$C$2*'Támogatás szorzat tényezői'!$C$5*J243*(H243/1000)</f>
        <v>79200.000000000015</v>
      </c>
      <c r="L243" s="203" t="s">
        <v>2191</v>
      </c>
      <c r="M243" s="6">
        <f t="shared" si="18"/>
        <v>8</v>
      </c>
    </row>
    <row r="244" spans="1:13" ht="15.75" x14ac:dyDescent="0.25">
      <c r="A244" s="207">
        <v>157</v>
      </c>
      <c r="B244" s="6" t="s">
        <v>2434</v>
      </c>
      <c r="C244" s="204" t="s">
        <v>1536</v>
      </c>
      <c r="D244" s="208" t="str">
        <f t="shared" si="15"/>
        <v>0214</v>
      </c>
      <c r="E244" s="208" t="str">
        <f t="shared" si="16"/>
        <v>3</v>
      </c>
      <c r="F244" s="209" t="str">
        <f t="shared" si="17"/>
        <v>004</v>
      </c>
      <c r="G244" s="210" t="s">
        <v>1883</v>
      </c>
      <c r="H244" s="6">
        <v>800</v>
      </c>
      <c r="I244" s="6">
        <v>1000</v>
      </c>
      <c r="J244" s="6">
        <f>IF(OR(G244="ágazaton kívüli",G244="n.a."),2.2,IF(OR(E244=2,E244=3,E244=4),VLOOKUP(G244,Szakmaszorzók!$B$2:$D$25,2,0),VLOOKUP(G244,Szakmaszorzók!$B$2:$D$25,3,0)))</f>
        <v>2.2000000000000002</v>
      </c>
      <c r="K244" s="173">
        <f>'Támogatás szorzat tényezői'!$C$2*'Támogatás szorzat tényezői'!$C$5*J244*(H244/1000)</f>
        <v>633600.00000000012</v>
      </c>
      <c r="L244" s="203" t="s">
        <v>2192</v>
      </c>
      <c r="M244" s="6">
        <f t="shared" si="18"/>
        <v>8</v>
      </c>
    </row>
    <row r="245" spans="1:13" ht="15.75" x14ac:dyDescent="0.25">
      <c r="A245" s="207">
        <v>158</v>
      </c>
      <c r="B245" s="6" t="s">
        <v>2542</v>
      </c>
      <c r="C245" s="204" t="s">
        <v>1537</v>
      </c>
      <c r="D245" s="208" t="str">
        <f t="shared" si="15"/>
        <v>0214</v>
      </c>
      <c r="E245" s="208" t="str">
        <f t="shared" si="16"/>
        <v>3</v>
      </c>
      <c r="F245" s="209" t="str">
        <f t="shared" si="17"/>
        <v>008</v>
      </c>
      <c r="G245" s="210" t="s">
        <v>1883</v>
      </c>
      <c r="H245" s="6">
        <v>800</v>
      </c>
      <c r="I245" s="6">
        <v>1000</v>
      </c>
      <c r="J245" s="6">
        <f>IF(OR(G245="ágazaton kívüli",G245="n.a."),2.2,IF(OR(E245=2,E245=3,E245=4),VLOOKUP(G245,Szakmaszorzók!$B$2:$D$25,2,0),VLOOKUP(G245,Szakmaszorzók!$B$2:$D$25,3,0)))</f>
        <v>2.2000000000000002</v>
      </c>
      <c r="K245" s="173">
        <f>'Támogatás szorzat tényezői'!$C$2*'Támogatás szorzat tényezői'!$C$5*J245*(H245/1000)</f>
        <v>633600.00000000012</v>
      </c>
      <c r="L245" s="203" t="s">
        <v>2193</v>
      </c>
      <c r="M245" s="6">
        <f t="shared" si="18"/>
        <v>8</v>
      </c>
    </row>
    <row r="246" spans="1:13" ht="15.75" x14ac:dyDescent="0.25">
      <c r="A246" s="207">
        <v>159</v>
      </c>
      <c r="B246" s="6" t="s">
        <v>2435</v>
      </c>
      <c r="C246" s="204" t="s">
        <v>1538</v>
      </c>
      <c r="D246" s="208" t="str">
        <f t="shared" ref="D246:D309" si="19">LEFT(C246,4)</f>
        <v>0214</v>
      </c>
      <c r="E246" s="208" t="str">
        <f t="shared" ref="E246:E309" si="20">LEFT(RIGHT(C246,4),1)</f>
        <v>3</v>
      </c>
      <c r="F246" s="209" t="str">
        <f t="shared" ref="F246:F309" si="21">RIGHT(C246,3)</f>
        <v>009</v>
      </c>
      <c r="G246" s="210" t="s">
        <v>1883</v>
      </c>
      <c r="H246" s="6">
        <v>800</v>
      </c>
      <c r="I246" s="6">
        <v>1000</v>
      </c>
      <c r="J246" s="6">
        <f>IF(OR(G246="ágazaton kívüli",G246="n.a."),2.2,IF(OR(E246=2,E246=3,E246=4),VLOOKUP(G246,Szakmaszorzók!$B$2:$D$25,2,0),VLOOKUP(G246,Szakmaszorzók!$B$2:$D$25,3,0)))</f>
        <v>2.2000000000000002</v>
      </c>
      <c r="K246" s="173">
        <f>'Támogatás szorzat tényezői'!$C$2*'Támogatás szorzat tényezői'!$C$5*J246*(H246/1000)</f>
        <v>633600.00000000012</v>
      </c>
      <c r="L246" s="203" t="s">
        <v>2194</v>
      </c>
      <c r="M246" s="6">
        <f t="shared" si="18"/>
        <v>8</v>
      </c>
    </row>
    <row r="247" spans="1:13" ht="15.75" x14ac:dyDescent="0.25">
      <c r="A247" s="207">
        <v>160</v>
      </c>
      <c r="B247" s="6" t="s">
        <v>2436</v>
      </c>
      <c r="C247" s="204" t="s">
        <v>1539</v>
      </c>
      <c r="D247" s="208" t="str">
        <f t="shared" si="19"/>
        <v>0214</v>
      </c>
      <c r="E247" s="208" t="str">
        <f t="shared" si="20"/>
        <v>3</v>
      </c>
      <c r="F247" s="209" t="str">
        <f t="shared" si="21"/>
        <v>005</v>
      </c>
      <c r="G247" s="210" t="s">
        <v>1883</v>
      </c>
      <c r="H247" s="6">
        <v>800</v>
      </c>
      <c r="I247" s="6">
        <v>1000</v>
      </c>
      <c r="J247" s="6">
        <f>IF(OR(G247="ágazaton kívüli",G247="n.a."),2.2,IF(OR(E247=2,E247=3,E247=4),VLOOKUP(G247,Szakmaszorzók!$B$2:$D$25,2,0),VLOOKUP(G247,Szakmaszorzók!$B$2:$D$25,3,0)))</f>
        <v>2.2000000000000002</v>
      </c>
      <c r="K247" s="173">
        <f>'Támogatás szorzat tényezői'!$C$2*'Támogatás szorzat tényezői'!$C$5*J247*(H247/1000)</f>
        <v>633600.00000000012</v>
      </c>
      <c r="L247" s="203" t="s">
        <v>2195</v>
      </c>
      <c r="M247" s="6">
        <f t="shared" si="18"/>
        <v>8</v>
      </c>
    </row>
    <row r="248" spans="1:13" ht="15.75" x14ac:dyDescent="0.25">
      <c r="A248" s="207">
        <v>161</v>
      </c>
      <c r="B248" s="6" t="s">
        <v>2437</v>
      </c>
      <c r="C248" s="204" t="s">
        <v>1549</v>
      </c>
      <c r="D248" s="208" t="str">
        <f t="shared" si="19"/>
        <v>0214</v>
      </c>
      <c r="E248" s="208" t="str">
        <f t="shared" si="20"/>
        <v>3</v>
      </c>
      <c r="F248" s="209" t="str">
        <f t="shared" si="21"/>
        <v>010</v>
      </c>
      <c r="G248" s="210" t="s">
        <v>1883</v>
      </c>
      <c r="H248" s="6">
        <v>800</v>
      </c>
      <c r="I248" s="6">
        <v>1000</v>
      </c>
      <c r="J248" s="6">
        <f>IF(OR(G248="ágazaton kívüli",G248="n.a."),2.2,IF(OR(E248=2,E248=3,E248=4),VLOOKUP(G248,Szakmaszorzók!$B$2:$D$25,2,0),VLOOKUP(G248,Szakmaszorzók!$B$2:$D$25,3,0)))</f>
        <v>2.2000000000000002</v>
      </c>
      <c r="K248" s="173">
        <f>'Támogatás szorzat tényezői'!$C$2*'Támogatás szorzat tényezői'!$C$5*J248*(H248/1000)</f>
        <v>633600.00000000012</v>
      </c>
      <c r="L248" s="203" t="s">
        <v>2196</v>
      </c>
      <c r="M248" s="6">
        <f t="shared" si="18"/>
        <v>8</v>
      </c>
    </row>
    <row r="249" spans="1:13" ht="15.75" x14ac:dyDescent="0.25">
      <c r="A249" s="207">
        <v>162</v>
      </c>
      <c r="B249" s="6" t="s">
        <v>2543</v>
      </c>
      <c r="C249" s="204" t="s">
        <v>1540</v>
      </c>
      <c r="D249" s="208" t="str">
        <f t="shared" si="19"/>
        <v>0214</v>
      </c>
      <c r="E249" s="208" t="str">
        <f t="shared" si="20"/>
        <v>3</v>
      </c>
      <c r="F249" s="209" t="str">
        <f t="shared" si="21"/>
        <v>011</v>
      </c>
      <c r="G249" s="210" t="s">
        <v>1883</v>
      </c>
      <c r="H249" s="6">
        <v>800</v>
      </c>
      <c r="I249" s="6">
        <v>1000</v>
      </c>
      <c r="J249" s="6">
        <f>IF(OR(G249="ágazaton kívüli",G249="n.a."),2.2,IF(OR(E249=2,E249=3,E249=4),VLOOKUP(G249,Szakmaszorzók!$B$2:$D$25,2,0),VLOOKUP(G249,Szakmaszorzók!$B$2:$D$25,3,0)))</f>
        <v>2.2000000000000002</v>
      </c>
      <c r="K249" s="173">
        <f>'Támogatás szorzat tényezői'!$C$2*'Támogatás szorzat tényezői'!$C$5*J249*(H249/1000)</f>
        <v>633600.00000000012</v>
      </c>
      <c r="L249" s="203" t="s">
        <v>2197</v>
      </c>
      <c r="M249" s="6">
        <f t="shared" si="18"/>
        <v>8</v>
      </c>
    </row>
    <row r="250" spans="1:13" ht="15.75" x14ac:dyDescent="0.25">
      <c r="A250" s="207">
        <v>163</v>
      </c>
      <c r="B250" s="6" t="s">
        <v>2438</v>
      </c>
      <c r="C250" s="204" t="s">
        <v>1541</v>
      </c>
      <c r="D250" s="208" t="str">
        <f t="shared" si="19"/>
        <v>0214</v>
      </c>
      <c r="E250" s="208" t="str">
        <f t="shared" si="20"/>
        <v>2</v>
      </c>
      <c r="F250" s="209" t="str">
        <f t="shared" si="21"/>
        <v>001</v>
      </c>
      <c r="G250" s="210" t="s">
        <v>1883</v>
      </c>
      <c r="H250" s="6">
        <v>480</v>
      </c>
      <c r="I250" s="6">
        <v>720</v>
      </c>
      <c r="J250" s="6">
        <f>IF(OR(G250="ágazaton kívüli",G250="n.a."),2.2,IF(OR(E250=2,E250=3,E250=4),VLOOKUP(G250,Szakmaszorzók!$B$2:$D$25,2,0),VLOOKUP(G250,Szakmaszorzók!$B$2:$D$25,3,0)))</f>
        <v>2.2000000000000002</v>
      </c>
      <c r="K250" s="173">
        <f>'Támogatás szorzat tényezői'!$C$2*'Támogatás szorzat tényezői'!$C$5*J250*(H250/1000)</f>
        <v>380160.00000000006</v>
      </c>
      <c r="L250" s="203" t="s">
        <v>2198</v>
      </c>
      <c r="M250" s="6">
        <f t="shared" si="18"/>
        <v>8</v>
      </c>
    </row>
    <row r="251" spans="1:13" ht="15.75" x14ac:dyDescent="0.25">
      <c r="A251" s="207">
        <v>164</v>
      </c>
      <c r="B251" s="6" t="s">
        <v>2439</v>
      </c>
      <c r="C251" s="204" t="s">
        <v>1542</v>
      </c>
      <c r="D251" s="208" t="str">
        <f t="shared" si="19"/>
        <v>0214</v>
      </c>
      <c r="E251" s="208" t="str">
        <f t="shared" si="20"/>
        <v>3</v>
      </c>
      <c r="F251" s="209" t="str">
        <f t="shared" si="21"/>
        <v>003</v>
      </c>
      <c r="G251" s="210" t="s">
        <v>1883</v>
      </c>
      <c r="H251" s="6">
        <v>800</v>
      </c>
      <c r="I251" s="6">
        <v>1000</v>
      </c>
      <c r="J251" s="6">
        <f>IF(OR(G251="ágazaton kívüli",G251="n.a."),2.2,IF(OR(E251=2,E251=3,E251=4),VLOOKUP(G251,Szakmaszorzók!$B$2:$D$25,2,0),VLOOKUP(G251,Szakmaszorzók!$B$2:$D$25,3,0)))</f>
        <v>2.2000000000000002</v>
      </c>
      <c r="K251" s="173">
        <f>'Támogatás szorzat tényezői'!$C$2*'Támogatás szorzat tényezői'!$C$5*J251*(H251/1000)</f>
        <v>633600.00000000012</v>
      </c>
      <c r="L251" s="203" t="s">
        <v>2199</v>
      </c>
      <c r="M251" s="6">
        <f t="shared" si="18"/>
        <v>8</v>
      </c>
    </row>
    <row r="252" spans="1:13" ht="15.75" x14ac:dyDescent="0.25">
      <c r="A252" s="207">
        <v>165</v>
      </c>
      <c r="B252" s="6" t="s">
        <v>2440</v>
      </c>
      <c r="C252" s="204" t="s">
        <v>1543</v>
      </c>
      <c r="D252" s="208" t="str">
        <f t="shared" si="19"/>
        <v>0214</v>
      </c>
      <c r="E252" s="208" t="str">
        <f t="shared" si="20"/>
        <v>3</v>
      </c>
      <c r="F252" s="209" t="str">
        <f t="shared" si="21"/>
        <v>006</v>
      </c>
      <c r="G252" s="210" t="s">
        <v>1883</v>
      </c>
      <c r="H252" s="6">
        <v>800</v>
      </c>
      <c r="I252" s="6">
        <v>1000</v>
      </c>
      <c r="J252" s="6">
        <f>IF(OR(G252="ágazaton kívüli",G252="n.a."),2.2,IF(OR(E252=2,E252=3,E252=4),VLOOKUP(G252,Szakmaszorzók!$B$2:$D$25,2,0),VLOOKUP(G252,Szakmaszorzók!$B$2:$D$25,3,0)))</f>
        <v>2.2000000000000002</v>
      </c>
      <c r="K252" s="173">
        <f>'Támogatás szorzat tényezői'!$C$2*'Támogatás szorzat tényezői'!$C$5*J252*(H252/1000)</f>
        <v>633600.00000000012</v>
      </c>
      <c r="L252" s="203" t="s">
        <v>2200</v>
      </c>
      <c r="M252" s="6">
        <f t="shared" si="18"/>
        <v>8</v>
      </c>
    </row>
    <row r="253" spans="1:13" ht="15.75" x14ac:dyDescent="0.25">
      <c r="A253" s="207">
        <v>166</v>
      </c>
      <c r="B253" s="6" t="s">
        <v>2441</v>
      </c>
      <c r="C253" s="204" t="s">
        <v>1544</v>
      </c>
      <c r="D253" s="208" t="str">
        <f t="shared" si="19"/>
        <v>0214</v>
      </c>
      <c r="E253" s="208" t="str">
        <f t="shared" si="20"/>
        <v>3</v>
      </c>
      <c r="F253" s="209" t="str">
        <f t="shared" si="21"/>
        <v>012</v>
      </c>
      <c r="G253" s="210" t="s">
        <v>1883</v>
      </c>
      <c r="H253" s="6">
        <v>800</v>
      </c>
      <c r="I253" s="6">
        <v>1000</v>
      </c>
      <c r="J253" s="6">
        <f>IF(OR(G253="ágazaton kívüli",G253="n.a."),2.2,IF(OR(E253=2,E253=3,E253=4),VLOOKUP(G253,Szakmaszorzók!$B$2:$D$25,2,0),VLOOKUP(G253,Szakmaszorzók!$B$2:$D$25,3,0)))</f>
        <v>2.2000000000000002</v>
      </c>
      <c r="K253" s="173">
        <f>'Támogatás szorzat tényezői'!$C$2*'Támogatás szorzat tényezői'!$C$5*J253*(H253/1000)</f>
        <v>633600.00000000012</v>
      </c>
      <c r="L253" s="203" t="s">
        <v>2201</v>
      </c>
      <c r="M253" s="6">
        <f t="shared" si="18"/>
        <v>8</v>
      </c>
    </row>
    <row r="254" spans="1:13" ht="15.75" x14ac:dyDescent="0.25">
      <c r="A254" s="207">
        <v>167</v>
      </c>
      <c r="B254" s="6" t="s">
        <v>2442</v>
      </c>
      <c r="C254" s="204" t="s">
        <v>1545</v>
      </c>
      <c r="D254" s="208" t="str">
        <f t="shared" si="19"/>
        <v>0214</v>
      </c>
      <c r="E254" s="208" t="str">
        <f t="shared" si="20"/>
        <v>3</v>
      </c>
      <c r="F254" s="209" t="str">
        <f t="shared" si="21"/>
        <v>013</v>
      </c>
      <c r="G254" s="210" t="s">
        <v>1883</v>
      </c>
      <c r="H254" s="6">
        <v>800</v>
      </c>
      <c r="I254" s="6">
        <v>1000</v>
      </c>
      <c r="J254" s="6">
        <f>IF(OR(G254="ágazaton kívüli",G254="n.a."),2.2,IF(OR(E254=2,E254=3,E254=4),VLOOKUP(G254,Szakmaszorzók!$B$2:$D$25,2,0),VLOOKUP(G254,Szakmaszorzók!$B$2:$D$25,3,0)))</f>
        <v>2.2000000000000002</v>
      </c>
      <c r="K254" s="173">
        <f>'Támogatás szorzat tényezői'!$C$2*'Támogatás szorzat tényezői'!$C$5*J254*(H254/1000)</f>
        <v>633600.00000000012</v>
      </c>
      <c r="L254" s="203" t="s">
        <v>2202</v>
      </c>
      <c r="M254" s="6">
        <f t="shared" si="18"/>
        <v>8</v>
      </c>
    </row>
    <row r="255" spans="1:13" ht="15.75" x14ac:dyDescent="0.25">
      <c r="A255" s="207">
        <v>168</v>
      </c>
      <c r="B255" s="6" t="s">
        <v>2443</v>
      </c>
      <c r="C255" s="204" t="s">
        <v>1546</v>
      </c>
      <c r="D255" s="208" t="str">
        <f t="shared" si="19"/>
        <v>0214</v>
      </c>
      <c r="E255" s="208" t="str">
        <f t="shared" si="20"/>
        <v>3</v>
      </c>
      <c r="F255" s="209" t="str">
        <f t="shared" si="21"/>
        <v>007</v>
      </c>
      <c r="G255" s="210" t="s">
        <v>1883</v>
      </c>
      <c r="H255" s="6">
        <v>800</v>
      </c>
      <c r="I255" s="6">
        <v>1000</v>
      </c>
      <c r="J255" s="6">
        <f>IF(OR(G255="ágazaton kívüli",G255="n.a."),2.2,IF(OR(E255=2,E255=3,E255=4),VLOOKUP(G255,Szakmaszorzók!$B$2:$D$25,2,0),VLOOKUP(G255,Szakmaszorzók!$B$2:$D$25,3,0)))</f>
        <v>2.2000000000000002</v>
      </c>
      <c r="K255" s="173">
        <f>'Támogatás szorzat tényezői'!$C$2*'Támogatás szorzat tényezői'!$C$5*J255*(H255/1000)</f>
        <v>633600.00000000012</v>
      </c>
      <c r="L255" s="203" t="s">
        <v>2203</v>
      </c>
      <c r="M255" s="6">
        <f t="shared" si="18"/>
        <v>8</v>
      </c>
    </row>
    <row r="256" spans="1:13" ht="15.75" x14ac:dyDescent="0.25">
      <c r="A256" s="207">
        <v>169</v>
      </c>
      <c r="B256" s="6" t="s">
        <v>2544</v>
      </c>
      <c r="C256" s="204" t="s">
        <v>1547</v>
      </c>
      <c r="D256" s="208" t="str">
        <f t="shared" si="19"/>
        <v>0214</v>
      </c>
      <c r="E256" s="208" t="str">
        <f t="shared" si="20"/>
        <v>3</v>
      </c>
      <c r="F256" s="209" t="str">
        <f t="shared" si="21"/>
        <v>014</v>
      </c>
      <c r="G256" s="210" t="s">
        <v>1883</v>
      </c>
      <c r="H256" s="6">
        <v>800</v>
      </c>
      <c r="I256" s="6">
        <v>1000</v>
      </c>
      <c r="J256" s="6">
        <f>IF(OR(G256="ágazaton kívüli",G256="n.a."),2.2,IF(OR(E256=2,E256=3,E256=4),VLOOKUP(G256,Szakmaszorzók!$B$2:$D$25,2,0),VLOOKUP(G256,Szakmaszorzók!$B$2:$D$25,3,0)))</f>
        <v>2.2000000000000002</v>
      </c>
      <c r="K256" s="173">
        <f>'Támogatás szorzat tényezői'!$C$2*'Támogatás szorzat tényezői'!$C$5*J256*(H256/1000)</f>
        <v>633600.00000000012</v>
      </c>
      <c r="L256" s="203" t="s">
        <v>2204</v>
      </c>
      <c r="M256" s="6">
        <f t="shared" si="18"/>
        <v>8</v>
      </c>
    </row>
    <row r="257" spans="1:13" ht="15.75" x14ac:dyDescent="0.25">
      <c r="A257" s="207">
        <v>170</v>
      </c>
      <c r="B257" s="6" t="s">
        <v>2444</v>
      </c>
      <c r="C257" s="204" t="s">
        <v>1548</v>
      </c>
      <c r="D257" s="208" t="str">
        <f t="shared" si="19"/>
        <v>0214</v>
      </c>
      <c r="E257" s="208" t="str">
        <f t="shared" si="20"/>
        <v>3</v>
      </c>
      <c r="F257" s="209" t="str">
        <f t="shared" si="21"/>
        <v>015</v>
      </c>
      <c r="G257" s="210" t="s">
        <v>1883</v>
      </c>
      <c r="H257" s="6">
        <v>800</v>
      </c>
      <c r="I257" s="6">
        <v>1000</v>
      </c>
      <c r="J257" s="6">
        <f>IF(OR(G257="ágazaton kívüli",G257="n.a."),2.2,IF(OR(E257=2,E257=3,E257=4),VLOOKUP(G257,Szakmaszorzók!$B$2:$D$25,2,0),VLOOKUP(G257,Szakmaszorzók!$B$2:$D$25,3,0)))</f>
        <v>2.2000000000000002</v>
      </c>
      <c r="K257" s="173">
        <f>'Támogatás szorzat tényezői'!$C$2*'Támogatás szorzat tényezői'!$C$5*J257*(H257/1000)</f>
        <v>633600.00000000012</v>
      </c>
      <c r="L257" s="203" t="s">
        <v>2205</v>
      </c>
      <c r="M257" s="6">
        <f t="shared" si="18"/>
        <v>8</v>
      </c>
    </row>
    <row r="258" spans="1:13" ht="15.75" x14ac:dyDescent="0.25">
      <c r="A258" s="207">
        <v>230</v>
      </c>
      <c r="B258" s="6" t="s">
        <v>2479</v>
      </c>
      <c r="C258" s="204" t="s">
        <v>1550</v>
      </c>
      <c r="D258" s="208" t="str">
        <f t="shared" si="19"/>
        <v>0215</v>
      </c>
      <c r="E258" s="208" t="str">
        <f t="shared" si="20"/>
        <v>5</v>
      </c>
      <c r="F258" s="209" t="str">
        <f t="shared" si="21"/>
        <v>056</v>
      </c>
      <c r="G258" s="210" t="s">
        <v>1883</v>
      </c>
      <c r="H258" s="6">
        <v>620</v>
      </c>
      <c r="I258" s="6">
        <v>1085</v>
      </c>
      <c r="J258" s="6">
        <f>IF(OR(G258="ágazaton kívüli",G258="n.a."),2.2,IF(OR(E258=2,E258=3,E258=4),VLOOKUP(G258,Szakmaszorzók!$B$2:$D$25,2,0),VLOOKUP(G258,Szakmaszorzók!$B$2:$D$25,3,0)))</f>
        <v>2.2000000000000002</v>
      </c>
      <c r="K258" s="173">
        <f>'Támogatás szorzat tényezői'!$C$2*'Támogatás szorzat tényezői'!$C$5*J258*(H258/1000)</f>
        <v>491040.00000000006</v>
      </c>
      <c r="L258" s="203" t="s">
        <v>2265</v>
      </c>
      <c r="M258" s="6">
        <f t="shared" ref="M258:M321" si="22">LEN(C258)</f>
        <v>8</v>
      </c>
    </row>
    <row r="259" spans="1:13" ht="15.75" x14ac:dyDescent="0.25">
      <c r="A259" s="207">
        <v>231</v>
      </c>
      <c r="B259" s="6" t="s">
        <v>2561</v>
      </c>
      <c r="C259" s="204" t="s">
        <v>1551</v>
      </c>
      <c r="D259" s="208" t="str">
        <f t="shared" si="19"/>
        <v>0215</v>
      </c>
      <c r="E259" s="208" t="str">
        <f t="shared" si="20"/>
        <v>5</v>
      </c>
      <c r="F259" s="209" t="str">
        <f t="shared" si="21"/>
        <v>057</v>
      </c>
      <c r="G259" s="210" t="s">
        <v>1883</v>
      </c>
      <c r="H259" s="6">
        <v>620</v>
      </c>
      <c r="I259" s="6">
        <v>1085</v>
      </c>
      <c r="J259" s="6">
        <f>IF(OR(G259="ágazaton kívüli",G259="n.a."),2.2,IF(OR(E259=2,E259=3,E259=4),VLOOKUP(G259,Szakmaszorzók!$B$2:$D$25,2,0),VLOOKUP(G259,Szakmaszorzók!$B$2:$D$25,3,0)))</f>
        <v>2.2000000000000002</v>
      </c>
      <c r="K259" s="173">
        <f>'Támogatás szorzat tényezői'!$C$2*'Támogatás szorzat tényezői'!$C$5*J259*(H259/1000)</f>
        <v>491040.00000000006</v>
      </c>
      <c r="L259" s="203" t="s">
        <v>2266</v>
      </c>
      <c r="M259" s="6">
        <f t="shared" si="22"/>
        <v>8</v>
      </c>
    </row>
    <row r="260" spans="1:13" ht="15.75" x14ac:dyDescent="0.25">
      <c r="A260" s="207">
        <v>232</v>
      </c>
      <c r="B260" s="6" t="s">
        <v>2480</v>
      </c>
      <c r="C260" s="204" t="s">
        <v>1552</v>
      </c>
      <c r="D260" s="208" t="str">
        <f t="shared" si="19"/>
        <v>0215</v>
      </c>
      <c r="E260" s="208" t="str">
        <f t="shared" si="20"/>
        <v>5</v>
      </c>
      <c r="F260" s="209" t="str">
        <f t="shared" si="21"/>
        <v>058</v>
      </c>
      <c r="G260" s="210" t="s">
        <v>1883</v>
      </c>
      <c r="H260" s="6">
        <v>620</v>
      </c>
      <c r="I260" s="6">
        <v>1085</v>
      </c>
      <c r="J260" s="6">
        <f>IF(OR(G260="ágazaton kívüli",G260="n.a."),2.2,IF(OR(E260=2,E260=3,E260=4),VLOOKUP(G260,Szakmaszorzók!$B$2:$D$25,2,0),VLOOKUP(G260,Szakmaszorzók!$B$2:$D$25,3,0)))</f>
        <v>2.2000000000000002</v>
      </c>
      <c r="K260" s="173">
        <f>'Támogatás szorzat tényezői'!$C$2*'Támogatás szorzat tényezői'!$C$5*J260*(H260/1000)</f>
        <v>491040.00000000006</v>
      </c>
      <c r="L260" s="203" t="s">
        <v>2267</v>
      </c>
      <c r="M260" s="6">
        <f t="shared" si="22"/>
        <v>8</v>
      </c>
    </row>
    <row r="261" spans="1:13" ht="15.75" x14ac:dyDescent="0.25">
      <c r="A261" s="207">
        <v>233</v>
      </c>
      <c r="B261" s="6" t="s">
        <v>2481</v>
      </c>
      <c r="C261" s="204" t="s">
        <v>1553</v>
      </c>
      <c r="D261" s="208" t="str">
        <f t="shared" si="19"/>
        <v>0215</v>
      </c>
      <c r="E261" s="208" t="str">
        <f t="shared" si="20"/>
        <v>5</v>
      </c>
      <c r="F261" s="209" t="str">
        <f t="shared" si="21"/>
        <v>059</v>
      </c>
      <c r="G261" s="210" t="s">
        <v>1883</v>
      </c>
      <c r="H261" s="6">
        <v>620</v>
      </c>
      <c r="I261" s="6">
        <v>1085</v>
      </c>
      <c r="J261" s="6">
        <f>IF(OR(G261="ágazaton kívüli",G261="n.a."),2.2,IF(OR(E261=2,E261=3,E261=4),VLOOKUP(G261,Szakmaszorzók!$B$2:$D$25,2,0),VLOOKUP(G261,Szakmaszorzók!$B$2:$D$25,3,0)))</f>
        <v>2.2000000000000002</v>
      </c>
      <c r="K261" s="173">
        <f>'Támogatás szorzat tényezői'!$C$2*'Támogatás szorzat tényezői'!$C$5*J261*(H261/1000)</f>
        <v>491040.00000000006</v>
      </c>
      <c r="L261" s="203" t="s">
        <v>2268</v>
      </c>
      <c r="M261" s="6">
        <f t="shared" si="22"/>
        <v>8</v>
      </c>
    </row>
    <row r="262" spans="1:13" ht="15.75" x14ac:dyDescent="0.25">
      <c r="A262" s="207">
        <v>234</v>
      </c>
      <c r="B262" s="6" t="s">
        <v>2482</v>
      </c>
      <c r="C262" s="204" t="s">
        <v>1554</v>
      </c>
      <c r="D262" s="208" t="str">
        <f t="shared" si="19"/>
        <v>0215</v>
      </c>
      <c r="E262" s="208" t="str">
        <f t="shared" si="20"/>
        <v>5</v>
      </c>
      <c r="F262" s="209" t="str">
        <f t="shared" si="21"/>
        <v>060</v>
      </c>
      <c r="G262" s="210" t="s">
        <v>1883</v>
      </c>
      <c r="H262" s="6">
        <v>620</v>
      </c>
      <c r="I262" s="6">
        <v>1085</v>
      </c>
      <c r="J262" s="6">
        <f>IF(OR(G262="ágazaton kívüli",G262="n.a."),2.2,IF(OR(E262=2,E262=3,E262=4),VLOOKUP(G262,Szakmaszorzók!$B$2:$D$25,2,0),VLOOKUP(G262,Szakmaszorzók!$B$2:$D$25,3,0)))</f>
        <v>2.2000000000000002</v>
      </c>
      <c r="K262" s="173">
        <f>'Támogatás szorzat tényezői'!$C$2*'Támogatás szorzat tényezői'!$C$5*J262*(H262/1000)</f>
        <v>491040.00000000006</v>
      </c>
      <c r="L262" s="203" t="s">
        <v>2269</v>
      </c>
      <c r="M262" s="6">
        <f t="shared" si="22"/>
        <v>8</v>
      </c>
    </row>
    <row r="263" spans="1:13" ht="15.75" x14ac:dyDescent="0.25">
      <c r="A263" s="207">
        <v>235</v>
      </c>
      <c r="B263" s="6" t="s">
        <v>2483</v>
      </c>
      <c r="C263" s="204" t="s">
        <v>1555</v>
      </c>
      <c r="D263" s="208" t="str">
        <f t="shared" si="19"/>
        <v>0215</v>
      </c>
      <c r="E263" s="208" t="str">
        <f t="shared" si="20"/>
        <v>4</v>
      </c>
      <c r="F263" s="209" t="str">
        <f t="shared" si="21"/>
        <v>051</v>
      </c>
      <c r="G263" s="210" t="s">
        <v>1883</v>
      </c>
      <c r="H263" s="6">
        <v>1725</v>
      </c>
      <c r="I263" s="6">
        <v>2200</v>
      </c>
      <c r="J263" s="6">
        <f>IF(OR(G263="ágazaton kívüli",G263="n.a."),2.2,IF(OR(E263=2,E263=3,E263=4),VLOOKUP(G263,Szakmaszorzók!$B$2:$D$25,2,0),VLOOKUP(G263,Szakmaszorzók!$B$2:$D$25,3,0)))</f>
        <v>2.2000000000000002</v>
      </c>
      <c r="K263" s="173">
        <f>'Támogatás szorzat tényezői'!$C$2*'Támogatás szorzat tényezői'!$C$5*J263*(H263/1000)</f>
        <v>1366200.0000000002</v>
      </c>
      <c r="L263" s="203" t="s">
        <v>2270</v>
      </c>
      <c r="M263" s="6">
        <f t="shared" si="22"/>
        <v>8</v>
      </c>
    </row>
    <row r="264" spans="1:13" ht="15.75" x14ac:dyDescent="0.25">
      <c r="A264" s="207">
        <v>236</v>
      </c>
      <c r="B264" s="6" t="s">
        <v>2484</v>
      </c>
      <c r="C264" s="204" t="s">
        <v>1556</v>
      </c>
      <c r="D264" s="208" t="str">
        <f t="shared" si="19"/>
        <v>0215</v>
      </c>
      <c r="E264" s="208" t="str">
        <f t="shared" si="20"/>
        <v>4</v>
      </c>
      <c r="F264" s="209" t="str">
        <f t="shared" si="21"/>
        <v>052</v>
      </c>
      <c r="G264" s="210" t="s">
        <v>1883</v>
      </c>
      <c r="H264" s="6">
        <v>1725</v>
      </c>
      <c r="I264" s="6">
        <v>2200</v>
      </c>
      <c r="J264" s="6">
        <f>IF(OR(G264="ágazaton kívüli",G264="n.a."),2.2,IF(OR(E264=2,E264=3,E264=4),VLOOKUP(G264,Szakmaszorzók!$B$2:$D$25,2,0),VLOOKUP(G264,Szakmaszorzók!$B$2:$D$25,3,0)))</f>
        <v>2.2000000000000002</v>
      </c>
      <c r="K264" s="173">
        <f>'Támogatás szorzat tényezői'!$C$2*'Támogatás szorzat tényezői'!$C$5*J264*(H264/1000)</f>
        <v>1366200.0000000002</v>
      </c>
      <c r="L264" s="203" t="s">
        <v>2271</v>
      </c>
      <c r="M264" s="6">
        <f t="shared" si="22"/>
        <v>8</v>
      </c>
    </row>
    <row r="265" spans="1:13" ht="15.75" x14ac:dyDescent="0.25">
      <c r="A265" s="207">
        <v>237</v>
      </c>
      <c r="B265" s="6" t="s">
        <v>2562</v>
      </c>
      <c r="C265" s="204" t="s">
        <v>1557</v>
      </c>
      <c r="D265" s="208" t="str">
        <f t="shared" si="19"/>
        <v>0215</v>
      </c>
      <c r="E265" s="208" t="str">
        <f t="shared" si="20"/>
        <v>4</v>
      </c>
      <c r="F265" s="209" t="str">
        <f t="shared" si="21"/>
        <v>053</v>
      </c>
      <c r="G265" s="210" t="s">
        <v>1883</v>
      </c>
      <c r="H265" s="6">
        <v>1725</v>
      </c>
      <c r="I265" s="6">
        <v>2200</v>
      </c>
      <c r="J265" s="6">
        <f>IF(OR(G265="ágazaton kívüli",G265="n.a."),2.2,IF(OR(E265=2,E265=3,E265=4),VLOOKUP(G265,Szakmaszorzók!$B$2:$D$25,2,0),VLOOKUP(G265,Szakmaszorzók!$B$2:$D$25,3,0)))</f>
        <v>2.2000000000000002</v>
      </c>
      <c r="K265" s="173">
        <f>'Támogatás szorzat tényezői'!$C$2*'Támogatás szorzat tényezői'!$C$5*J265*(H265/1000)</f>
        <v>1366200.0000000002</v>
      </c>
      <c r="L265" s="203" t="s">
        <v>2272</v>
      </c>
      <c r="M265" s="6">
        <f t="shared" si="22"/>
        <v>8</v>
      </c>
    </row>
    <row r="266" spans="1:13" ht="15.75" x14ac:dyDescent="0.25">
      <c r="A266" s="207">
        <v>238</v>
      </c>
      <c r="B266" s="6" t="s">
        <v>2485</v>
      </c>
      <c r="C266" s="204" t="s">
        <v>1558</v>
      </c>
      <c r="D266" s="208" t="str">
        <f t="shared" si="19"/>
        <v>0215</v>
      </c>
      <c r="E266" s="208" t="str">
        <f t="shared" si="20"/>
        <v>4</v>
      </c>
      <c r="F266" s="209" t="str">
        <f t="shared" si="21"/>
        <v>054</v>
      </c>
      <c r="G266" s="210" t="s">
        <v>1883</v>
      </c>
      <c r="H266" s="6">
        <v>1725</v>
      </c>
      <c r="I266" s="6">
        <v>2200</v>
      </c>
      <c r="J266" s="6">
        <f>IF(OR(G266="ágazaton kívüli",G266="n.a."),2.2,IF(OR(E266=2,E266=3,E266=4),VLOOKUP(G266,Szakmaszorzók!$B$2:$D$25,2,0),VLOOKUP(G266,Szakmaszorzók!$B$2:$D$25,3,0)))</f>
        <v>2.2000000000000002</v>
      </c>
      <c r="K266" s="173">
        <f>'Támogatás szorzat tényezői'!$C$2*'Támogatás szorzat tényezői'!$C$5*J266*(H266/1000)</f>
        <v>1366200.0000000002</v>
      </c>
      <c r="L266" s="203" t="s">
        <v>2273</v>
      </c>
      <c r="M266" s="6">
        <f t="shared" si="22"/>
        <v>8</v>
      </c>
    </row>
    <row r="267" spans="1:13" ht="15.75" x14ac:dyDescent="0.25">
      <c r="A267" s="207">
        <v>239</v>
      </c>
      <c r="B267" s="6" t="s">
        <v>2486</v>
      </c>
      <c r="C267" s="204" t="s">
        <v>1559</v>
      </c>
      <c r="D267" s="208" t="str">
        <f t="shared" si="19"/>
        <v>0215</v>
      </c>
      <c r="E267" s="208" t="str">
        <f t="shared" si="20"/>
        <v>4</v>
      </c>
      <c r="F267" s="209" t="str">
        <f t="shared" si="21"/>
        <v>055</v>
      </c>
      <c r="G267" s="210" t="s">
        <v>1883</v>
      </c>
      <c r="H267" s="6">
        <v>1725</v>
      </c>
      <c r="I267" s="6">
        <v>2200</v>
      </c>
      <c r="J267" s="6">
        <f>IF(OR(G267="ágazaton kívüli",G267="n.a."),2.2,IF(OR(E267=2,E267=3,E267=4),VLOOKUP(G267,Szakmaszorzók!$B$2:$D$25,2,0),VLOOKUP(G267,Szakmaszorzók!$B$2:$D$25,3,0)))</f>
        <v>2.2000000000000002</v>
      </c>
      <c r="K267" s="173">
        <f>'Támogatás szorzat tényezői'!$C$2*'Támogatás szorzat tényezői'!$C$5*J267*(H267/1000)</f>
        <v>1366200.0000000002</v>
      </c>
      <c r="L267" s="203" t="s">
        <v>2274</v>
      </c>
      <c r="M267" s="6">
        <f t="shared" si="22"/>
        <v>8</v>
      </c>
    </row>
    <row r="268" spans="1:13" ht="15.75" x14ac:dyDescent="0.25">
      <c r="A268" s="207">
        <v>75</v>
      </c>
      <c r="B268" s="6" t="s">
        <v>2110</v>
      </c>
      <c r="C268" s="204" t="s">
        <v>1677</v>
      </c>
      <c r="D268" s="204" t="str">
        <f t="shared" si="19"/>
        <v>0721</v>
      </c>
      <c r="E268" s="204" t="str">
        <f t="shared" si="20"/>
        <v>4</v>
      </c>
      <c r="F268" s="205" t="str">
        <f t="shared" si="21"/>
        <v>003</v>
      </c>
      <c r="G268" s="6" t="s">
        <v>1296</v>
      </c>
      <c r="H268" s="6">
        <v>320</v>
      </c>
      <c r="I268" s="6">
        <v>400</v>
      </c>
      <c r="J268" s="6">
        <f>IF(OR(G268="ágazaton kívüli",G268="n.a."),2.2,IF(OR(E268=2,E268=3,E268=4),VLOOKUP(G268,Szakmaszorzók!$B$2:$D$25,2,0),VLOOKUP(G268,Szakmaszorzók!$B$2:$D$25,3,0)))</f>
        <v>2.2000000000000002</v>
      </c>
      <c r="K268" s="173">
        <f>'Támogatás szorzat tényezői'!$C$2*'Támogatás szorzat tényezői'!$C$5*J268*(H268/1000)</f>
        <v>253440.00000000003</v>
      </c>
      <c r="L268" s="203" t="s">
        <v>2110</v>
      </c>
      <c r="M268" s="6">
        <f t="shared" si="22"/>
        <v>8</v>
      </c>
    </row>
    <row r="269" spans="1:13" ht="15.75" x14ac:dyDescent="0.25">
      <c r="A269" s="207">
        <v>309</v>
      </c>
      <c r="B269" s="6" t="s">
        <v>2517</v>
      </c>
      <c r="C269" s="204" t="s">
        <v>1560</v>
      </c>
      <c r="D269" s="204" t="str">
        <f t="shared" si="19"/>
        <v>0416</v>
      </c>
      <c r="E269" s="204" t="str">
        <f t="shared" si="20"/>
        <v>4</v>
      </c>
      <c r="F269" s="205" t="str">
        <f t="shared" si="21"/>
        <v>014</v>
      </c>
      <c r="G269" s="6" t="s">
        <v>1351</v>
      </c>
      <c r="H269" s="6">
        <v>200</v>
      </c>
      <c r="I269" s="6">
        <v>300</v>
      </c>
      <c r="J269" s="6">
        <f>IF(OR(G269="ágazaton kívüli",G269="n.a."),2.2,IF(OR(E269=2,E269=3,E269=4),VLOOKUP(G269,Szakmaszorzók!$B$2:$D$25,2,0),VLOOKUP(G269,Szakmaszorzók!$B$2:$D$25,3,0)))</f>
        <v>2.2000000000000002</v>
      </c>
      <c r="K269" s="173">
        <f>'Támogatás szorzat tényezői'!$C$2*'Támogatás szorzat tényezői'!$C$5*J269*(H269/1000)</f>
        <v>158400.00000000003</v>
      </c>
      <c r="L269" s="203" t="s">
        <v>2344</v>
      </c>
      <c r="M269" s="6">
        <f t="shared" si="22"/>
        <v>8</v>
      </c>
    </row>
    <row r="270" spans="1:13" ht="15.75" x14ac:dyDescent="0.25">
      <c r="A270" s="207">
        <v>65</v>
      </c>
      <c r="B270" s="6" t="s">
        <v>2638</v>
      </c>
      <c r="C270" s="204" t="s">
        <v>1685</v>
      </c>
      <c r="D270" s="204" t="str">
        <f t="shared" si="19"/>
        <v>0732</v>
      </c>
      <c r="E270" s="204" t="str">
        <f t="shared" si="20"/>
        <v>3</v>
      </c>
      <c r="F270" s="205" t="str">
        <f t="shared" si="21"/>
        <v>008</v>
      </c>
      <c r="G270" s="6" t="s">
        <v>1282</v>
      </c>
      <c r="H270" s="6">
        <v>240</v>
      </c>
      <c r="I270" s="6">
        <v>360</v>
      </c>
      <c r="J270" s="6">
        <f>IF(OR(G270="ágazaton kívüli",G270="n.a."),2.2,IF(OR(E270=2,E270=3,E270=4),VLOOKUP(G270,Szakmaszorzók!$B$2:$D$25,2,0),VLOOKUP(G270,Szakmaszorzók!$B$2:$D$25,3,0)))</f>
        <v>2.42</v>
      </c>
      <c r="K270" s="173">
        <f>'Támogatás szorzat tényezői'!$C$2*'Támogatás szorzat tényezői'!$C$5*J270*(H270/1000)</f>
        <v>209088</v>
      </c>
      <c r="L270" s="203" t="s">
        <v>2100</v>
      </c>
      <c r="M270" s="6">
        <f t="shared" si="22"/>
        <v>8</v>
      </c>
    </row>
    <row r="271" spans="1:13" ht="15.75" x14ac:dyDescent="0.25">
      <c r="A271" s="207">
        <v>131</v>
      </c>
      <c r="B271" s="6" t="s">
        <v>2688</v>
      </c>
      <c r="C271" s="204" t="s">
        <v>1689</v>
      </c>
      <c r="D271" s="208" t="str">
        <f t="shared" si="19"/>
        <v>0799</v>
      </c>
      <c r="E271" s="208" t="str">
        <f t="shared" si="20"/>
        <v>3</v>
      </c>
      <c r="F271" s="209" t="str">
        <f t="shared" si="21"/>
        <v>004</v>
      </c>
      <c r="G271" s="6" t="s">
        <v>1301</v>
      </c>
      <c r="H271" s="6">
        <v>160</v>
      </c>
      <c r="I271" s="6">
        <v>200</v>
      </c>
      <c r="J271" s="6">
        <f>IF(OR(G271="ágazaton kívüli",G271="n.a."),2.2,IF(OR(E271=2,E271=3,E271=4),VLOOKUP(G271,Szakmaszorzók!$B$2:$D$25,2,0),VLOOKUP(G271,Szakmaszorzók!$B$2:$D$25,3,0)))</f>
        <v>2.85</v>
      </c>
      <c r="K271" s="173">
        <f>'Támogatás szorzat tényezői'!$C$2*'Támogatás szorzat tényezői'!$C$5*J271*(H271/1000)</f>
        <v>164160</v>
      </c>
      <c r="L271" s="203" t="s">
        <v>2166</v>
      </c>
      <c r="M271" s="6">
        <f t="shared" si="22"/>
        <v>8</v>
      </c>
    </row>
    <row r="272" spans="1:13" ht="15.75" x14ac:dyDescent="0.25">
      <c r="A272" s="207">
        <v>87</v>
      </c>
      <c r="B272" s="6" t="s">
        <v>2658</v>
      </c>
      <c r="C272" s="204" t="s">
        <v>1561</v>
      </c>
      <c r="D272" s="204" t="str">
        <f t="shared" si="19"/>
        <v>0722</v>
      </c>
      <c r="E272" s="204" t="str">
        <f t="shared" si="20"/>
        <v>4</v>
      </c>
      <c r="F272" s="205" t="str">
        <f t="shared" si="21"/>
        <v>002</v>
      </c>
      <c r="G272" s="6" t="s">
        <v>1298</v>
      </c>
      <c r="H272" s="6">
        <v>280</v>
      </c>
      <c r="I272" s="6">
        <v>350</v>
      </c>
      <c r="J272" s="6">
        <f>IF(OR(G272="ágazaton kívüli",G272="n.a."),2.2,IF(OR(E272=2,E272=3,E272=4),VLOOKUP(G272,Szakmaszorzók!$B$2:$D$25,2,0),VLOOKUP(G272,Szakmaszorzók!$B$2:$D$25,3,0)))</f>
        <v>2.42</v>
      </c>
      <c r="K272" s="173">
        <f>'Támogatás szorzat tényezői'!$C$2*'Támogatás szorzat tényezői'!$C$5*J272*(H272/1000)</f>
        <v>243936.00000000003</v>
      </c>
      <c r="L272" s="203" t="s">
        <v>2122</v>
      </c>
      <c r="M272" s="6">
        <f t="shared" si="22"/>
        <v>8</v>
      </c>
    </row>
    <row r="273" spans="1:13" ht="15.75" x14ac:dyDescent="0.25">
      <c r="A273" s="207">
        <v>290</v>
      </c>
      <c r="B273" s="6" t="s">
        <v>2734</v>
      </c>
      <c r="C273" s="204" t="s">
        <v>2797</v>
      </c>
      <c r="D273" s="204" t="str">
        <f t="shared" si="19"/>
        <v>0411</v>
      </c>
      <c r="E273" s="204" t="str">
        <f t="shared" si="20"/>
        <v>6</v>
      </c>
      <c r="F273" s="205" t="str">
        <f t="shared" si="21"/>
        <v>007</v>
      </c>
      <c r="G273" s="6" t="s">
        <v>1389</v>
      </c>
      <c r="H273" s="6">
        <v>270</v>
      </c>
      <c r="I273" s="6">
        <v>330</v>
      </c>
      <c r="J273" s="6">
        <f>IF(OR(G273="ágazaton kívüli",G273="n.a."),2.2,IF(OR(E273=2,E273=3,E273=4),VLOOKUP(G273,Szakmaszorzók!$B$2:$D$25,2,0),VLOOKUP(G273,Szakmaszorzók!$B$2:$D$25,3,0)))</f>
        <v>2.2000000000000002</v>
      </c>
      <c r="K273" s="173">
        <f>'Támogatás szorzat tényezői'!$C$2*'Támogatás szorzat tényezői'!$C$5*J273*(H273/1000)</f>
        <v>213840.00000000006</v>
      </c>
      <c r="L273" s="203" t="s">
        <v>2325</v>
      </c>
      <c r="M273" s="6">
        <f t="shared" si="22"/>
        <v>8</v>
      </c>
    </row>
    <row r="274" spans="1:13" ht="15.75" x14ac:dyDescent="0.25">
      <c r="A274" s="207">
        <v>40</v>
      </c>
      <c r="B274" s="6" t="s">
        <v>2613</v>
      </c>
      <c r="C274" s="204" t="s">
        <v>2780</v>
      </c>
      <c r="D274" s="204" t="str">
        <f t="shared" si="19"/>
        <v>0715</v>
      </c>
      <c r="E274" s="204" t="str">
        <f t="shared" si="20"/>
        <v>4</v>
      </c>
      <c r="F274" s="205" t="str">
        <f t="shared" si="21"/>
        <v>004</v>
      </c>
      <c r="G274" s="6" t="s">
        <v>1293</v>
      </c>
      <c r="H274" s="6">
        <v>720</v>
      </c>
      <c r="I274" s="6">
        <v>1000</v>
      </c>
      <c r="J274" s="6">
        <f>IF(OR(G274="ágazaton kívüli",G274="n.a."),2.2,IF(OR(E274=2,E274=3,E274=4),VLOOKUP(G274,Szakmaszorzók!$B$2:$D$25,2,0),VLOOKUP(G274,Szakmaszorzók!$B$2:$D$25,3,0)))</f>
        <v>2.42</v>
      </c>
      <c r="K274" s="173">
        <f>'Támogatás szorzat tényezői'!$C$2*'Támogatás szorzat tényezői'!$C$5*J274*(H274/1000)</f>
        <v>627264</v>
      </c>
      <c r="L274" s="203" t="s">
        <v>2075</v>
      </c>
      <c r="M274" s="6">
        <f t="shared" si="22"/>
        <v>8</v>
      </c>
    </row>
    <row r="275" spans="1:13" ht="15.75" x14ac:dyDescent="0.25">
      <c r="A275" s="207">
        <v>41</v>
      </c>
      <c r="B275" s="6" t="s">
        <v>2614</v>
      </c>
      <c r="C275" s="204" t="s">
        <v>1562</v>
      </c>
      <c r="D275" s="204" t="str">
        <f t="shared" si="19"/>
        <v>0715</v>
      </c>
      <c r="E275" s="204" t="str">
        <f t="shared" si="20"/>
        <v>4</v>
      </c>
      <c r="F275" s="205" t="str">
        <f t="shared" si="21"/>
        <v>001</v>
      </c>
      <c r="G275" s="6" t="s">
        <v>1298</v>
      </c>
      <c r="H275" s="6">
        <v>240</v>
      </c>
      <c r="I275" s="6">
        <v>360</v>
      </c>
      <c r="J275" s="6">
        <f>IF(OR(G275="ágazaton kívüli",G275="n.a."),2.2,IF(OR(E275=2,E275=3,E275=4),VLOOKUP(G275,Szakmaszorzók!$B$2:$D$25,2,0),VLOOKUP(G275,Szakmaszorzók!$B$2:$D$25,3,0)))</f>
        <v>2.42</v>
      </c>
      <c r="K275" s="173">
        <f>'Támogatás szorzat tényezői'!$C$2*'Támogatás szorzat tényezői'!$C$5*J275*(H275/1000)</f>
        <v>209088</v>
      </c>
      <c r="L275" s="203" t="s">
        <v>2076</v>
      </c>
      <c r="M275" s="6">
        <f t="shared" si="22"/>
        <v>8</v>
      </c>
    </row>
    <row r="276" spans="1:13" ht="15.75" x14ac:dyDescent="0.25">
      <c r="A276" s="207">
        <v>54</v>
      </c>
      <c r="B276" s="6" t="s">
        <v>2627</v>
      </c>
      <c r="C276" s="204" t="s">
        <v>1563</v>
      </c>
      <c r="D276" s="204" t="str">
        <f t="shared" si="19"/>
        <v>0911</v>
      </c>
      <c r="E276" s="204" t="str">
        <f t="shared" si="20"/>
        <v>5</v>
      </c>
      <c r="F276" s="205" t="str">
        <f t="shared" si="21"/>
        <v>002</v>
      </c>
      <c r="G276" s="6" t="s">
        <v>1328</v>
      </c>
      <c r="H276" s="6">
        <v>160</v>
      </c>
      <c r="I276" s="6">
        <v>172</v>
      </c>
      <c r="J276" s="6">
        <f>IF(OR(G276="ágazaton kívüli",G276="n.a."),2.2,IF(OR(E276=2,E276=3,E276=4),VLOOKUP(G276,Szakmaszorzók!$B$2:$D$25,2,0),VLOOKUP(G276,Szakmaszorzók!$B$2:$D$25,3,0)))</f>
        <v>2.85</v>
      </c>
      <c r="K276" s="173">
        <f>'Támogatás szorzat tényezői'!$C$2*'Támogatás szorzat tényezői'!$C$5*J276*(H276/1000)</f>
        <v>164160</v>
      </c>
      <c r="L276" s="203" t="s">
        <v>2089</v>
      </c>
      <c r="M276" s="6">
        <f t="shared" si="22"/>
        <v>8</v>
      </c>
    </row>
    <row r="277" spans="1:13" ht="15.75" x14ac:dyDescent="0.25">
      <c r="A277" s="207">
        <v>357</v>
      </c>
      <c r="B277" s="6" t="s">
        <v>2532</v>
      </c>
      <c r="C277" s="204">
        <v>10324021</v>
      </c>
      <c r="D277" s="204" t="str">
        <f t="shared" si="19"/>
        <v>1032</v>
      </c>
      <c r="E277" s="204" t="str">
        <f t="shared" si="20"/>
        <v>4</v>
      </c>
      <c r="F277" s="205" t="str">
        <f t="shared" si="21"/>
        <v>021</v>
      </c>
      <c r="G277" s="6" t="s">
        <v>1373</v>
      </c>
      <c r="H277" s="6">
        <v>500</v>
      </c>
      <c r="I277" s="6">
        <v>700</v>
      </c>
      <c r="J277" s="6">
        <f>IF(OR(G277="ágazaton kívüli",G277="n.a."),2.2,IF(OR(E277=2,E277=3,E277=4),VLOOKUP(G277,Szakmaszorzók!$B$2:$D$25,2,0),VLOOKUP(G277,Szakmaszorzók!$B$2:$D$25,3,0)))</f>
        <v>2.2000000000000002</v>
      </c>
      <c r="K277" s="173">
        <f>'Támogatás szorzat tényezői'!$C$2*'Támogatás szorzat tényezői'!$C$5*J277*(H277/1000)</f>
        <v>396000.00000000006</v>
      </c>
      <c r="L277" s="203" t="s">
        <v>2392</v>
      </c>
      <c r="M277" s="6">
        <f t="shared" si="22"/>
        <v>8</v>
      </c>
    </row>
    <row r="278" spans="1:13" ht="15.75" x14ac:dyDescent="0.25">
      <c r="A278" s="207">
        <v>42</v>
      </c>
      <c r="B278" s="6" t="s">
        <v>2615</v>
      </c>
      <c r="C278" s="204" t="s">
        <v>1670</v>
      </c>
      <c r="D278" s="204" t="str">
        <f t="shared" si="19"/>
        <v>0715</v>
      </c>
      <c r="E278" s="204" t="str">
        <f t="shared" si="20"/>
        <v>4</v>
      </c>
      <c r="F278" s="205" t="str">
        <f t="shared" si="21"/>
        <v>005</v>
      </c>
      <c r="G278" s="6" t="s">
        <v>1293</v>
      </c>
      <c r="H278" s="6">
        <v>320</v>
      </c>
      <c r="I278" s="6">
        <v>480</v>
      </c>
      <c r="J278" s="6">
        <f>IF(OR(G278="ágazaton kívüli",G278="n.a."),2.2,IF(OR(E278=2,E278=3,E278=4),VLOOKUP(G278,Szakmaszorzók!$B$2:$D$25,2,0),VLOOKUP(G278,Szakmaszorzók!$B$2:$D$25,3,0)))</f>
        <v>2.42</v>
      </c>
      <c r="K278" s="173">
        <f>'Támogatás szorzat tényezői'!$C$2*'Támogatás szorzat tényezői'!$C$5*J278*(H278/1000)</f>
        <v>278784</v>
      </c>
      <c r="L278" s="203" t="s">
        <v>2077</v>
      </c>
      <c r="M278" s="6">
        <f t="shared" si="22"/>
        <v>8</v>
      </c>
    </row>
    <row r="279" spans="1:13" ht="15.75" x14ac:dyDescent="0.25">
      <c r="A279" s="207">
        <v>282</v>
      </c>
      <c r="B279" s="6" t="s">
        <v>2727</v>
      </c>
      <c r="C279" s="204" t="s">
        <v>1708</v>
      </c>
      <c r="D279" s="204" t="str">
        <f t="shared" si="19"/>
        <v>0888</v>
      </c>
      <c r="E279" s="204" t="str">
        <f t="shared" si="20"/>
        <v>4</v>
      </c>
      <c r="F279" s="205" t="str">
        <f t="shared" si="21"/>
        <v>002</v>
      </c>
      <c r="G279" s="6" t="s">
        <v>1316</v>
      </c>
      <c r="H279" s="6">
        <v>480</v>
      </c>
      <c r="I279" s="6">
        <v>720</v>
      </c>
      <c r="J279" s="6">
        <f>IF(OR(G279="ágazaton kívüli",G279="n.a."),2.2,IF(OR(E279=2,E279=3,E279=4),VLOOKUP(G279,Szakmaszorzók!$B$2:$D$25,2,0),VLOOKUP(G279,Szakmaszorzók!$B$2:$D$25,3,0)))</f>
        <v>2.85</v>
      </c>
      <c r="K279" s="173">
        <f>'Támogatás szorzat tényezői'!$C$2*'Támogatás szorzat tényezői'!$C$5*J279*(H279/1000)</f>
        <v>492480</v>
      </c>
      <c r="L279" s="203" t="s">
        <v>2317</v>
      </c>
      <c r="M279" s="6">
        <f t="shared" si="22"/>
        <v>8</v>
      </c>
    </row>
    <row r="280" spans="1:13" ht="15.75" x14ac:dyDescent="0.25">
      <c r="A280" s="207">
        <v>264</v>
      </c>
      <c r="B280" s="6" t="s">
        <v>2505</v>
      </c>
      <c r="C280" s="204" t="s">
        <v>1564</v>
      </c>
      <c r="D280" s="204" t="str">
        <f t="shared" si="19"/>
        <v>0119</v>
      </c>
      <c r="E280" s="204" t="str">
        <f t="shared" si="20"/>
        <v>4</v>
      </c>
      <c r="F280" s="205" t="str">
        <f t="shared" si="21"/>
        <v>001</v>
      </c>
      <c r="G280" s="210" t="s">
        <v>1883</v>
      </c>
      <c r="H280" s="6">
        <v>900</v>
      </c>
      <c r="I280" s="6">
        <v>1300</v>
      </c>
      <c r="J280" s="6">
        <f>IF(OR(G280="ágazaton kívüli",G280="n.a."),2.2,IF(OR(E280=2,E280=3,E280=4),VLOOKUP(G280,Szakmaszorzók!$B$2:$D$25,2,0),VLOOKUP(G280,Szakmaszorzók!$B$2:$D$25,3,0)))</f>
        <v>2.2000000000000002</v>
      </c>
      <c r="K280" s="173">
        <f>'Támogatás szorzat tényezői'!$C$2*'Támogatás szorzat tényezői'!$C$5*J280*(H280/1000)</f>
        <v>712800.00000000012</v>
      </c>
      <c r="L280" s="203" t="s">
        <v>2299</v>
      </c>
      <c r="M280" s="6">
        <f t="shared" si="22"/>
        <v>8</v>
      </c>
    </row>
    <row r="281" spans="1:13" ht="15.75" x14ac:dyDescent="0.25">
      <c r="A281" s="207">
        <v>265</v>
      </c>
      <c r="B281" s="6" t="s">
        <v>2506</v>
      </c>
      <c r="C281" s="204" t="s">
        <v>1565</v>
      </c>
      <c r="D281" s="204" t="str">
        <f t="shared" si="19"/>
        <v>0119</v>
      </c>
      <c r="E281" s="204" t="str">
        <f t="shared" si="20"/>
        <v>4</v>
      </c>
      <c r="F281" s="205" t="str">
        <f t="shared" si="21"/>
        <v>002</v>
      </c>
      <c r="G281" s="210" t="s">
        <v>1883</v>
      </c>
      <c r="H281" s="6">
        <v>1000</v>
      </c>
      <c r="I281" s="6">
        <v>1300</v>
      </c>
      <c r="J281" s="6">
        <f>IF(OR(G281="ágazaton kívüli",G281="n.a."),2.2,IF(OR(E281=2,E281=3,E281=4),VLOOKUP(G281,Szakmaszorzók!$B$2:$D$25,2,0),VLOOKUP(G281,Szakmaszorzók!$B$2:$D$25,3,0)))</f>
        <v>2.2000000000000002</v>
      </c>
      <c r="K281" s="173">
        <f>'Támogatás szorzat tényezői'!$C$2*'Támogatás szorzat tényezői'!$C$5*J281*(H281/1000)</f>
        <v>792000.00000000012</v>
      </c>
      <c r="L281" s="203" t="s">
        <v>2300</v>
      </c>
      <c r="M281" s="6">
        <f t="shared" si="22"/>
        <v>8</v>
      </c>
    </row>
    <row r="282" spans="1:13" ht="15.75" x14ac:dyDescent="0.25">
      <c r="A282" s="207">
        <v>317</v>
      </c>
      <c r="B282" s="6" t="s">
        <v>2744</v>
      </c>
      <c r="C282" s="204" t="s">
        <v>2804</v>
      </c>
      <c r="D282" s="204" t="str">
        <f t="shared" si="19"/>
        <v>0412</v>
      </c>
      <c r="E282" s="204" t="str">
        <f t="shared" si="20"/>
        <v>4</v>
      </c>
      <c r="F282" s="205" t="str">
        <f t="shared" si="21"/>
        <v>001</v>
      </c>
      <c r="G282" s="6" t="s">
        <v>1389</v>
      </c>
      <c r="H282" s="6">
        <v>30</v>
      </c>
      <c r="I282" s="6">
        <v>50</v>
      </c>
      <c r="J282" s="6">
        <f>IF(OR(G282="ágazaton kívüli",G282="n.a."),2.2,IF(OR(E282=2,E282=3,E282=4),VLOOKUP(G282,Szakmaszorzók!$B$2:$D$25,2,0),VLOOKUP(G282,Szakmaszorzók!$B$2:$D$25,3,0)))</f>
        <v>2.2000000000000002</v>
      </c>
      <c r="K282" s="173">
        <f>'Támogatás szorzat tényezői'!$C$2*'Támogatás szorzat tényezői'!$C$5*J282*(H282/1000)</f>
        <v>23760.000000000004</v>
      </c>
      <c r="L282" s="203" t="s">
        <v>2352</v>
      </c>
      <c r="M282" s="6">
        <f t="shared" si="22"/>
        <v>8</v>
      </c>
    </row>
    <row r="283" spans="1:13" ht="15.75" x14ac:dyDescent="0.25">
      <c r="A283" s="207">
        <v>291</v>
      </c>
      <c r="B283" s="6" t="s">
        <v>2735</v>
      </c>
      <c r="C283" s="204" t="s">
        <v>2798</v>
      </c>
      <c r="D283" s="204" t="str">
        <f t="shared" si="19"/>
        <v>0411</v>
      </c>
      <c r="E283" s="204" t="str">
        <f t="shared" si="20"/>
        <v>5</v>
      </c>
      <c r="F283" s="205" t="str">
        <f t="shared" si="21"/>
        <v>004</v>
      </c>
      <c r="G283" s="6" t="s">
        <v>1389</v>
      </c>
      <c r="H283" s="6">
        <v>140</v>
      </c>
      <c r="I283" s="6">
        <v>210</v>
      </c>
      <c r="J283" s="6">
        <f>IF(OR(G283="ágazaton kívüli",G283="n.a."),2.2,IF(OR(E283=2,E283=3,E283=4),VLOOKUP(G283,Szakmaszorzók!$B$2:$D$25,2,0),VLOOKUP(G283,Szakmaszorzók!$B$2:$D$25,3,0)))</f>
        <v>2.2000000000000002</v>
      </c>
      <c r="K283" s="173">
        <f>'Támogatás szorzat tényezői'!$C$2*'Támogatás szorzat tényezői'!$C$5*J283*(H283/1000)</f>
        <v>110880.00000000003</v>
      </c>
      <c r="L283" s="203" t="s">
        <v>2326</v>
      </c>
      <c r="M283" s="6">
        <f t="shared" si="22"/>
        <v>8</v>
      </c>
    </row>
    <row r="284" spans="1:13" ht="15.75" x14ac:dyDescent="0.25">
      <c r="A284" s="207">
        <v>4</v>
      </c>
      <c r="B284" s="6" t="s">
        <v>2577</v>
      </c>
      <c r="C284" s="204" t="s">
        <v>1669</v>
      </c>
      <c r="D284" s="204" t="str">
        <f t="shared" si="19"/>
        <v>0714</v>
      </c>
      <c r="E284" s="204" t="str">
        <f t="shared" si="20"/>
        <v>5</v>
      </c>
      <c r="F284" s="205" t="str">
        <f t="shared" si="21"/>
        <v>003</v>
      </c>
      <c r="G284" s="6" t="s">
        <v>1290</v>
      </c>
      <c r="H284" s="6">
        <v>400</v>
      </c>
      <c r="I284" s="6">
        <v>600</v>
      </c>
      <c r="J284" s="6">
        <f>IF(OR(G284="ágazaton kívüli",G284="n.a."),2.2,IF(OR(E284=2,E284=3,E284=4),VLOOKUP(G284,Szakmaszorzók!$B$2:$D$25,2,0),VLOOKUP(G284,Szakmaszorzók!$B$2:$D$25,3,0)))</f>
        <v>2.85</v>
      </c>
      <c r="K284" s="173">
        <f>'Támogatás szorzat tényezői'!$C$2*'Támogatás szorzat tényezői'!$C$5*J284*(H284/1000)</f>
        <v>410400</v>
      </c>
      <c r="L284" s="203" t="s">
        <v>2039</v>
      </c>
      <c r="M284" s="6">
        <f t="shared" si="22"/>
        <v>8</v>
      </c>
    </row>
    <row r="285" spans="1:13" ht="15.75" x14ac:dyDescent="0.25">
      <c r="A285" s="207">
        <v>310</v>
      </c>
      <c r="B285" s="6" t="s">
        <v>2740</v>
      </c>
      <c r="C285" s="204" t="s">
        <v>2801</v>
      </c>
      <c r="D285" s="204" t="str">
        <f t="shared" si="19"/>
        <v>0416</v>
      </c>
      <c r="E285" s="204" t="str">
        <f t="shared" si="20"/>
        <v>4</v>
      </c>
      <c r="F285" s="205" t="str">
        <f t="shared" si="21"/>
        <v>015</v>
      </c>
      <c r="G285" s="6" t="s">
        <v>1351</v>
      </c>
      <c r="H285" s="6">
        <v>160</v>
      </c>
      <c r="I285" s="6">
        <v>180</v>
      </c>
      <c r="J285" s="6">
        <f>IF(OR(G285="ágazaton kívüli",G285="n.a."),2.2,IF(OR(E285=2,E285=3,E285=4),VLOOKUP(G285,Szakmaszorzók!$B$2:$D$25,2,0),VLOOKUP(G285,Szakmaszorzók!$B$2:$D$25,3,0)))</f>
        <v>2.2000000000000002</v>
      </c>
      <c r="K285" s="173">
        <f>'Támogatás szorzat tényezői'!$C$2*'Támogatás szorzat tényezői'!$C$5*J285*(H285/1000)</f>
        <v>126720.00000000001</v>
      </c>
      <c r="L285" s="203" t="s">
        <v>2345</v>
      </c>
      <c r="M285" s="6">
        <f t="shared" si="22"/>
        <v>8</v>
      </c>
    </row>
    <row r="286" spans="1:13" ht="15.75" x14ac:dyDescent="0.25">
      <c r="A286" s="207">
        <v>66</v>
      </c>
      <c r="B286" s="6" t="s">
        <v>2639</v>
      </c>
      <c r="C286" s="204" t="s">
        <v>1686</v>
      </c>
      <c r="D286" s="204" t="str">
        <f t="shared" si="19"/>
        <v>0732</v>
      </c>
      <c r="E286" s="204" t="str">
        <f t="shared" si="20"/>
        <v>4</v>
      </c>
      <c r="F286" s="205" t="str">
        <f t="shared" si="21"/>
        <v>009</v>
      </c>
      <c r="G286" s="6" t="s">
        <v>1282</v>
      </c>
      <c r="H286" s="6">
        <v>400</v>
      </c>
      <c r="I286" s="6">
        <v>500</v>
      </c>
      <c r="J286" s="6">
        <f>IF(OR(G286="ágazaton kívüli",G286="n.a."),2.2,IF(OR(E286=2,E286=3,E286=4),VLOOKUP(G286,Szakmaszorzók!$B$2:$D$25,2,0),VLOOKUP(G286,Szakmaszorzók!$B$2:$D$25,3,0)))</f>
        <v>2.42</v>
      </c>
      <c r="K286" s="173">
        <f>'Támogatás szorzat tényezői'!$C$2*'Támogatás szorzat tényezői'!$C$5*J286*(H286/1000)</f>
        <v>348480</v>
      </c>
      <c r="L286" s="203" t="s">
        <v>2101</v>
      </c>
      <c r="M286" s="6">
        <f t="shared" si="22"/>
        <v>8</v>
      </c>
    </row>
    <row r="287" spans="1:13" ht="15.75" x14ac:dyDescent="0.25">
      <c r="A287" s="207">
        <v>132</v>
      </c>
      <c r="B287" s="6" t="s">
        <v>2689</v>
      </c>
      <c r="C287" s="204" t="s">
        <v>1566</v>
      </c>
      <c r="D287" s="208" t="str">
        <f t="shared" si="19"/>
        <v>0799</v>
      </c>
      <c r="E287" s="208" t="str">
        <f t="shared" si="20"/>
        <v>4</v>
      </c>
      <c r="F287" s="209" t="str">
        <f t="shared" si="21"/>
        <v>001</v>
      </c>
      <c r="G287" s="6" t="s">
        <v>1290</v>
      </c>
      <c r="H287" s="6">
        <v>120</v>
      </c>
      <c r="I287" s="6">
        <v>150</v>
      </c>
      <c r="J287" s="6">
        <f>IF(OR(G287="ágazaton kívüli",G287="n.a."),2.2,IF(OR(E287=2,E287=3,E287=4),VLOOKUP(G287,Szakmaszorzók!$B$2:$D$25,2,0),VLOOKUP(G287,Szakmaszorzók!$B$2:$D$25,3,0)))</f>
        <v>2.85</v>
      </c>
      <c r="K287" s="173">
        <f>'Támogatás szorzat tényezői'!$C$2*'Támogatás szorzat tényezői'!$C$5*J287*(H287/1000)</f>
        <v>123120</v>
      </c>
      <c r="L287" s="203" t="s">
        <v>2167</v>
      </c>
      <c r="M287" s="6">
        <f t="shared" si="22"/>
        <v>8</v>
      </c>
    </row>
    <row r="288" spans="1:13" ht="15.75" x14ac:dyDescent="0.25">
      <c r="A288" s="207">
        <v>311</v>
      </c>
      <c r="B288" s="6" t="s">
        <v>2518</v>
      </c>
      <c r="C288" s="204" t="s">
        <v>1567</v>
      </c>
      <c r="D288" s="204" t="str">
        <f t="shared" si="19"/>
        <v>0416</v>
      </c>
      <c r="E288" s="204" t="str">
        <f t="shared" si="20"/>
        <v>3</v>
      </c>
      <c r="F288" s="205" t="str">
        <f t="shared" si="21"/>
        <v>007</v>
      </c>
      <c r="G288" s="6" t="s">
        <v>1351</v>
      </c>
      <c r="H288" s="6">
        <v>80</v>
      </c>
      <c r="I288" s="6">
        <v>120</v>
      </c>
      <c r="J288" s="6">
        <f>IF(OR(G288="ágazaton kívüli",G288="n.a."),2.2,IF(OR(E288=2,E288=3,E288=4),VLOOKUP(G288,Szakmaszorzók!$B$2:$D$25,2,0),VLOOKUP(G288,Szakmaszorzók!$B$2:$D$25,3,0)))</f>
        <v>2.2000000000000002</v>
      </c>
      <c r="K288" s="173">
        <f>'Támogatás szorzat tényezői'!$C$2*'Támogatás szorzat tényezői'!$C$5*J288*(H288/1000)</f>
        <v>63360.000000000007</v>
      </c>
      <c r="L288" s="203" t="s">
        <v>2346</v>
      </c>
      <c r="M288" s="6">
        <f t="shared" si="22"/>
        <v>8</v>
      </c>
    </row>
    <row r="289" spans="1:13" ht="15.75" x14ac:dyDescent="0.25">
      <c r="A289" s="207">
        <v>267</v>
      </c>
      <c r="B289" s="6" t="s">
        <v>2712</v>
      </c>
      <c r="C289" s="204">
        <v>10124003</v>
      </c>
      <c r="D289" s="204" t="str">
        <f t="shared" si="19"/>
        <v>1012</v>
      </c>
      <c r="E289" s="204" t="str">
        <f t="shared" si="20"/>
        <v>4</v>
      </c>
      <c r="F289" s="205" t="str">
        <f t="shared" si="21"/>
        <v>003</v>
      </c>
      <c r="G289" s="6" t="s">
        <v>1327</v>
      </c>
      <c r="H289" s="6">
        <v>800</v>
      </c>
      <c r="I289" s="6">
        <v>1000</v>
      </c>
      <c r="J289" s="6">
        <f>IF(OR(G289="ágazaton kívüli",G289="n.a."),2.2,IF(OR(E289=2,E289=3,E289=4),VLOOKUP(G289,Szakmaszorzók!$B$2:$D$25,2,0),VLOOKUP(G289,Szakmaszorzók!$B$2:$D$25,3,0)))</f>
        <v>2.42</v>
      </c>
      <c r="K289" s="173">
        <f>'Támogatás szorzat tényezői'!$C$2*'Támogatás szorzat tényezői'!$C$5*J289*(H289/1000)</f>
        <v>696960</v>
      </c>
      <c r="L289" s="203" t="s">
        <v>2302</v>
      </c>
      <c r="M289" s="6">
        <f t="shared" si="22"/>
        <v>8</v>
      </c>
    </row>
    <row r="290" spans="1:13" ht="15.75" x14ac:dyDescent="0.25">
      <c r="A290" s="207">
        <v>44</v>
      </c>
      <c r="B290" s="6" t="s">
        <v>2617</v>
      </c>
      <c r="C290" s="204" t="s">
        <v>1606</v>
      </c>
      <c r="D290" s="204" t="str">
        <f t="shared" si="19"/>
        <v>0716</v>
      </c>
      <c r="E290" s="204" t="str">
        <f t="shared" si="20"/>
        <v>4</v>
      </c>
      <c r="F290" s="205" t="str">
        <f t="shared" si="21"/>
        <v>001</v>
      </c>
      <c r="G290" s="6" t="s">
        <v>1287</v>
      </c>
      <c r="H290" s="6">
        <v>1000</v>
      </c>
      <c r="I290" s="6">
        <v>1100</v>
      </c>
      <c r="J290" s="6">
        <f>IF(OR(G290="ágazaton kívüli",G290="n.a."),2.2,IF(OR(E290=2,E290=3,E290=4),VLOOKUP(G290,Szakmaszorzók!$B$2:$D$25,2,0),VLOOKUP(G290,Szakmaszorzók!$B$2:$D$25,3,0)))</f>
        <v>2.85</v>
      </c>
      <c r="K290" s="173">
        <f>'Támogatás szorzat tényezői'!$C$2*'Támogatás szorzat tényezői'!$C$5*J290*(H290/1000)</f>
        <v>1026000</v>
      </c>
      <c r="L290" s="203" t="s">
        <v>2079</v>
      </c>
      <c r="M290" s="6">
        <f t="shared" si="22"/>
        <v>8</v>
      </c>
    </row>
    <row r="291" spans="1:13" ht="15.75" x14ac:dyDescent="0.25">
      <c r="A291" s="207">
        <v>273</v>
      </c>
      <c r="B291" s="6" t="s">
        <v>2718</v>
      </c>
      <c r="C291" s="204">
        <v>10144001</v>
      </c>
      <c r="D291" s="204" t="str">
        <f t="shared" si="19"/>
        <v>1014</v>
      </c>
      <c r="E291" s="204" t="str">
        <f t="shared" si="20"/>
        <v>4</v>
      </c>
      <c r="F291" s="205" t="str">
        <f t="shared" si="21"/>
        <v>001</v>
      </c>
      <c r="G291" s="6" t="s">
        <v>1325</v>
      </c>
      <c r="H291" s="6">
        <v>130</v>
      </c>
      <c r="I291" s="6">
        <v>190</v>
      </c>
      <c r="J291" s="6">
        <f>IF(OR(G291="ágazaton kívüli",G291="n.a."),2.2,IF(OR(E291=2,E291=3,E291=4),VLOOKUP(G291,Szakmaszorzók!$B$2:$D$25,2,0),VLOOKUP(G291,Szakmaszorzók!$B$2:$D$25,3,0)))</f>
        <v>2.2000000000000002</v>
      </c>
      <c r="K291" s="173">
        <f>'Támogatás szorzat tényezői'!$C$2*'Támogatás szorzat tényezői'!$C$5*J291*(H291/1000)</f>
        <v>102960.00000000001</v>
      </c>
      <c r="L291" s="203" t="s">
        <v>2308</v>
      </c>
      <c r="M291" s="6">
        <f t="shared" si="22"/>
        <v>8</v>
      </c>
    </row>
    <row r="292" spans="1:13" ht="15.75" x14ac:dyDescent="0.25">
      <c r="A292" s="207">
        <v>276</v>
      </c>
      <c r="B292" s="6" t="s">
        <v>2721</v>
      </c>
      <c r="C292" s="204">
        <v>10135002</v>
      </c>
      <c r="D292" s="204" t="str">
        <f t="shared" si="19"/>
        <v>1013</v>
      </c>
      <c r="E292" s="204" t="str">
        <f t="shared" si="20"/>
        <v>5</v>
      </c>
      <c r="F292" s="205" t="str">
        <f t="shared" si="21"/>
        <v>002</v>
      </c>
      <c r="G292" s="6" t="s">
        <v>1303</v>
      </c>
      <c r="H292" s="6">
        <v>800</v>
      </c>
      <c r="I292" s="6">
        <v>1000</v>
      </c>
      <c r="J292" s="6">
        <f>IF(OR(G292="ágazaton kívüli",G292="n.a."),2.2,IF(OR(E292=2,E292=3,E292=4),VLOOKUP(G292,Szakmaszorzók!$B$2:$D$25,2,0),VLOOKUP(G292,Szakmaszorzók!$B$2:$D$25,3,0)))</f>
        <v>2.2000000000000002</v>
      </c>
      <c r="K292" s="173">
        <f>'Támogatás szorzat tényezői'!$C$2*'Támogatás szorzat tényezői'!$C$5*J292*(H292/1000)</f>
        <v>633600.00000000012</v>
      </c>
      <c r="L292" s="203" t="s">
        <v>2311</v>
      </c>
      <c r="M292" s="6">
        <f t="shared" si="22"/>
        <v>8</v>
      </c>
    </row>
    <row r="293" spans="1:13" ht="15.75" x14ac:dyDescent="0.25">
      <c r="A293" s="207">
        <v>277</v>
      </c>
      <c r="B293" s="6" t="s">
        <v>2722</v>
      </c>
      <c r="C293" s="204">
        <v>10135001</v>
      </c>
      <c r="D293" s="204" t="str">
        <f t="shared" si="19"/>
        <v>1013</v>
      </c>
      <c r="E293" s="204" t="str">
        <f t="shared" si="20"/>
        <v>5</v>
      </c>
      <c r="F293" s="205" t="str">
        <f t="shared" si="21"/>
        <v>001</v>
      </c>
      <c r="G293" s="6" t="s">
        <v>1303</v>
      </c>
      <c r="H293" s="6">
        <v>200</v>
      </c>
      <c r="I293" s="6">
        <v>300</v>
      </c>
      <c r="J293" s="6">
        <f>IF(OR(G293="ágazaton kívüli",G293="n.a."),2.2,IF(OR(E293=2,E293=3,E293=4),VLOOKUP(G293,Szakmaszorzók!$B$2:$D$25,2,0),VLOOKUP(G293,Szakmaszorzók!$B$2:$D$25,3,0)))</f>
        <v>2.2000000000000002</v>
      </c>
      <c r="K293" s="173">
        <f>'Támogatás szorzat tényezői'!$C$2*'Támogatás szorzat tényezői'!$C$5*J293*(H293/1000)</f>
        <v>158400.00000000003</v>
      </c>
      <c r="L293" s="203" t="s">
        <v>2312</v>
      </c>
      <c r="M293" s="6">
        <f t="shared" si="22"/>
        <v>8</v>
      </c>
    </row>
    <row r="294" spans="1:13" ht="15.75" x14ac:dyDescent="0.25">
      <c r="A294" s="207">
        <v>318</v>
      </c>
      <c r="B294" s="6" t="s">
        <v>2745</v>
      </c>
      <c r="C294" s="204" t="s">
        <v>1633</v>
      </c>
      <c r="D294" s="204" t="str">
        <f t="shared" si="19"/>
        <v>0415</v>
      </c>
      <c r="E294" s="204" t="str">
        <f t="shared" si="20"/>
        <v>3</v>
      </c>
      <c r="F294" s="205" t="str">
        <f t="shared" si="21"/>
        <v>001</v>
      </c>
      <c r="G294" s="6" t="s">
        <v>2806</v>
      </c>
      <c r="H294" s="6">
        <v>80</v>
      </c>
      <c r="I294" s="6">
        <v>120</v>
      </c>
      <c r="J294" s="6">
        <f>IF(OR(G294="ágazaton kívüli",G294="n.a."),2.2,IF(OR(E294=2,E294=3,E294=4),VLOOKUP(G294,Szakmaszorzók!$B$2:$D$25,2,0),VLOOKUP(G294,Szakmaszorzók!$B$2:$D$25,3,0)))</f>
        <v>2.2000000000000002</v>
      </c>
      <c r="K294" s="173">
        <f>'Támogatás szorzat tényezői'!$C$2*'Támogatás szorzat tényezői'!$C$5*J294*(H294/1000)</f>
        <v>63360.000000000007</v>
      </c>
      <c r="L294" s="203" t="s">
        <v>2353</v>
      </c>
      <c r="M294" s="6">
        <f t="shared" si="22"/>
        <v>8</v>
      </c>
    </row>
    <row r="295" spans="1:13" ht="15.75" x14ac:dyDescent="0.25">
      <c r="A295" s="207">
        <v>76</v>
      </c>
      <c r="B295" s="6" t="s">
        <v>2648</v>
      </c>
      <c r="C295" s="204" t="s">
        <v>1675</v>
      </c>
      <c r="D295" s="204" t="str">
        <f t="shared" si="19"/>
        <v>0721</v>
      </c>
      <c r="E295" s="204" t="str">
        <f t="shared" si="20"/>
        <v>4</v>
      </c>
      <c r="F295" s="205" t="str">
        <f t="shared" si="21"/>
        <v>001</v>
      </c>
      <c r="G295" s="6" t="s">
        <v>1296</v>
      </c>
      <c r="H295" s="6">
        <v>320</v>
      </c>
      <c r="I295" s="6">
        <v>400</v>
      </c>
      <c r="J295" s="6">
        <f>IF(OR(G295="ágazaton kívüli",G295="n.a."),2.2,IF(OR(E295=2,E295=3,E295=4),VLOOKUP(G295,Szakmaszorzók!$B$2:$D$25,2,0),VLOOKUP(G295,Szakmaszorzók!$B$2:$D$25,3,0)))</f>
        <v>2.2000000000000002</v>
      </c>
      <c r="K295" s="173">
        <f>'Támogatás szorzat tényezői'!$C$2*'Támogatás szorzat tényezői'!$C$5*J295*(H295/1000)</f>
        <v>253440.00000000003</v>
      </c>
      <c r="L295" s="203" t="s">
        <v>2111</v>
      </c>
      <c r="M295" s="6">
        <f t="shared" si="22"/>
        <v>8</v>
      </c>
    </row>
    <row r="296" spans="1:13" ht="15.75" x14ac:dyDescent="0.25">
      <c r="A296" s="207">
        <v>358</v>
      </c>
      <c r="B296" s="6" t="s">
        <v>1710</v>
      </c>
      <c r="C296" s="204">
        <v>10323009</v>
      </c>
      <c r="D296" s="204" t="str">
        <f t="shared" si="19"/>
        <v>1032</v>
      </c>
      <c r="E296" s="204" t="str">
        <f t="shared" si="20"/>
        <v>3</v>
      </c>
      <c r="F296" s="205" t="str">
        <f t="shared" si="21"/>
        <v>009</v>
      </c>
      <c r="G296" s="6" t="s">
        <v>1373</v>
      </c>
      <c r="H296" s="6">
        <v>200</v>
      </c>
      <c r="I296" s="6">
        <v>250</v>
      </c>
      <c r="J296" s="6">
        <f>IF(OR(G296="ágazaton kívüli",G296="n.a."),2.2,IF(OR(E296=2,E296=3,E296=4),VLOOKUP(G296,Szakmaszorzók!$B$2:$D$25,2,0),VLOOKUP(G296,Szakmaszorzók!$B$2:$D$25,3,0)))</f>
        <v>2.2000000000000002</v>
      </c>
      <c r="K296" s="173">
        <f>'Támogatás szorzat tényezői'!$C$2*'Támogatás szorzat tényezői'!$C$5*J296*(H296/1000)</f>
        <v>158400.00000000003</v>
      </c>
      <c r="L296" s="203" t="s">
        <v>2393</v>
      </c>
      <c r="M296" s="6">
        <f t="shared" si="22"/>
        <v>8</v>
      </c>
    </row>
    <row r="297" spans="1:13" ht="15.75" x14ac:dyDescent="0.25">
      <c r="A297" s="207">
        <v>274</v>
      </c>
      <c r="B297" s="6" t="s">
        <v>2719</v>
      </c>
      <c r="C297" s="204">
        <v>10145004</v>
      </c>
      <c r="D297" s="204" t="str">
        <f t="shared" si="19"/>
        <v>1014</v>
      </c>
      <c r="E297" s="204" t="str">
        <f t="shared" si="20"/>
        <v>5</v>
      </c>
      <c r="F297" s="205" t="str">
        <f t="shared" si="21"/>
        <v>004</v>
      </c>
      <c r="G297" s="6" t="s">
        <v>1325</v>
      </c>
      <c r="H297" s="6">
        <v>200</v>
      </c>
      <c r="I297" s="6">
        <v>250</v>
      </c>
      <c r="J297" s="6">
        <f>IF(OR(G297="ágazaton kívüli",G297="n.a."),2.2,IF(OR(E297=2,E297=3,E297=4),VLOOKUP(G297,Szakmaszorzók!$B$2:$D$25,2,0),VLOOKUP(G297,Szakmaszorzók!$B$2:$D$25,3,0)))</f>
        <v>2.2000000000000002</v>
      </c>
      <c r="K297" s="173">
        <f>'Támogatás szorzat tényezői'!$C$2*'Támogatás szorzat tényezői'!$C$5*J297*(H297/1000)</f>
        <v>158400.00000000003</v>
      </c>
      <c r="L297" s="203" t="s">
        <v>2309</v>
      </c>
      <c r="M297" s="6">
        <f t="shared" si="22"/>
        <v>8</v>
      </c>
    </row>
    <row r="298" spans="1:13" ht="15.75" x14ac:dyDescent="0.25">
      <c r="A298" s="207">
        <v>88</v>
      </c>
      <c r="B298" s="6" t="s">
        <v>2659</v>
      </c>
      <c r="C298" s="204" t="s">
        <v>1678</v>
      </c>
      <c r="D298" s="204" t="str">
        <f t="shared" si="19"/>
        <v>0722</v>
      </c>
      <c r="E298" s="204" t="str">
        <f t="shared" si="20"/>
        <v>4</v>
      </c>
      <c r="F298" s="205" t="str">
        <f t="shared" si="21"/>
        <v>012</v>
      </c>
      <c r="G298" s="6" t="s">
        <v>1298</v>
      </c>
      <c r="H298" s="6">
        <v>320</v>
      </c>
      <c r="I298" s="6">
        <v>400</v>
      </c>
      <c r="J298" s="6">
        <f>IF(OR(G298="ágazaton kívüli",G298="n.a."),2.2,IF(OR(E298=2,E298=3,E298=4),VLOOKUP(G298,Szakmaszorzók!$B$2:$D$25,2,0),VLOOKUP(G298,Szakmaszorzók!$B$2:$D$25,3,0)))</f>
        <v>2.42</v>
      </c>
      <c r="K298" s="173">
        <f>'Támogatás szorzat tényezői'!$C$2*'Támogatás szorzat tényezői'!$C$5*J298*(H298/1000)</f>
        <v>278784</v>
      </c>
      <c r="L298" s="203" t="s">
        <v>2123</v>
      </c>
      <c r="M298" s="6">
        <f t="shared" si="22"/>
        <v>8</v>
      </c>
    </row>
    <row r="299" spans="1:13" ht="15.75" x14ac:dyDescent="0.25">
      <c r="A299" s="207">
        <v>241</v>
      </c>
      <c r="B299" s="6" t="s">
        <v>2488</v>
      </c>
      <c r="C299" s="204" t="s">
        <v>1568</v>
      </c>
      <c r="D299" s="208" t="str">
        <f t="shared" si="19"/>
        <v>0215</v>
      </c>
      <c r="E299" s="208" t="str">
        <f t="shared" si="20"/>
        <v>5</v>
      </c>
      <c r="F299" s="209" t="str">
        <f t="shared" si="21"/>
        <v>063</v>
      </c>
      <c r="G299" s="210" t="s">
        <v>1883</v>
      </c>
      <c r="H299" s="6">
        <v>480</v>
      </c>
      <c r="I299" s="6">
        <v>720</v>
      </c>
      <c r="J299" s="6">
        <f>IF(OR(G299="ágazaton kívüli",G299="n.a."),2.2,IF(OR(E299=2,E299=3,E299=4),VLOOKUP(G299,Szakmaszorzók!$B$2:$D$25,2,0),VLOOKUP(G299,Szakmaszorzók!$B$2:$D$25,3,0)))</f>
        <v>2.2000000000000002</v>
      </c>
      <c r="K299" s="173">
        <f>'Támogatás szorzat tényezői'!$C$2*'Támogatás szorzat tényezői'!$C$5*J299*(H299/1000)</f>
        <v>380160.00000000006</v>
      </c>
      <c r="L299" s="203" t="s">
        <v>2276</v>
      </c>
      <c r="M299" s="6">
        <f t="shared" si="22"/>
        <v>8</v>
      </c>
    </row>
    <row r="300" spans="1:13" ht="15.75" x14ac:dyDescent="0.25">
      <c r="A300" s="207">
        <v>242</v>
      </c>
      <c r="B300" s="6" t="s">
        <v>2489</v>
      </c>
      <c r="C300" s="204" t="s">
        <v>1569</v>
      </c>
      <c r="D300" s="208" t="str">
        <f t="shared" si="19"/>
        <v>0215</v>
      </c>
      <c r="E300" s="208" t="str">
        <f t="shared" si="20"/>
        <v>5</v>
      </c>
      <c r="F300" s="209" t="str">
        <f t="shared" si="21"/>
        <v>064</v>
      </c>
      <c r="G300" s="210" t="s">
        <v>1883</v>
      </c>
      <c r="H300" s="6">
        <v>480</v>
      </c>
      <c r="I300" s="6">
        <v>720</v>
      </c>
      <c r="J300" s="6">
        <f>IF(OR(G300="ágazaton kívüli",G300="n.a."),2.2,IF(OR(E300=2,E300=3,E300=4),VLOOKUP(G300,Szakmaszorzók!$B$2:$D$25,2,0),VLOOKUP(G300,Szakmaszorzók!$B$2:$D$25,3,0)))</f>
        <v>2.2000000000000002</v>
      </c>
      <c r="K300" s="173">
        <f>'Támogatás szorzat tényezői'!$C$2*'Támogatás szorzat tényezői'!$C$5*J300*(H300/1000)</f>
        <v>380160.00000000006</v>
      </c>
      <c r="L300" s="203" t="s">
        <v>2277</v>
      </c>
      <c r="M300" s="6">
        <f t="shared" si="22"/>
        <v>8</v>
      </c>
    </row>
    <row r="301" spans="1:13" ht="15.75" x14ac:dyDescent="0.25">
      <c r="A301" s="207">
        <v>243</v>
      </c>
      <c r="B301" s="6" t="s">
        <v>2490</v>
      </c>
      <c r="C301" s="204" t="s">
        <v>1570</v>
      </c>
      <c r="D301" s="204" t="str">
        <f t="shared" si="19"/>
        <v>0215</v>
      </c>
      <c r="E301" s="204" t="str">
        <f t="shared" si="20"/>
        <v>4</v>
      </c>
      <c r="F301" s="205" t="str">
        <f t="shared" si="21"/>
        <v>061</v>
      </c>
      <c r="G301" s="210" t="s">
        <v>1883</v>
      </c>
      <c r="H301" s="6">
        <v>960</v>
      </c>
      <c r="I301" s="6">
        <v>1440</v>
      </c>
      <c r="J301" s="6">
        <f>IF(OR(G301="ágazaton kívüli",G301="n.a."),2.2,IF(OR(E301=2,E301=3,E301=4),VLOOKUP(G301,Szakmaszorzók!$B$2:$D$25,2,0),VLOOKUP(G301,Szakmaszorzók!$B$2:$D$25,3,0)))</f>
        <v>2.2000000000000002</v>
      </c>
      <c r="K301" s="173">
        <f>'Támogatás szorzat tényezői'!$C$2*'Támogatás szorzat tényezői'!$C$5*J301*(H301/1000)</f>
        <v>760320.00000000012</v>
      </c>
      <c r="L301" s="203" t="s">
        <v>2278</v>
      </c>
      <c r="M301" s="6">
        <f t="shared" si="22"/>
        <v>8</v>
      </c>
    </row>
    <row r="302" spans="1:13" ht="15.75" x14ac:dyDescent="0.25">
      <c r="A302" s="207">
        <v>240</v>
      </c>
      <c r="B302" s="6" t="s">
        <v>2487</v>
      </c>
      <c r="C302" s="204" t="s">
        <v>1571</v>
      </c>
      <c r="D302" s="208" t="str">
        <f t="shared" si="19"/>
        <v>0215</v>
      </c>
      <c r="E302" s="208" t="str">
        <f t="shared" si="20"/>
        <v>4</v>
      </c>
      <c r="F302" s="209" t="str">
        <f t="shared" si="21"/>
        <v>062</v>
      </c>
      <c r="G302" s="210" t="s">
        <v>1883</v>
      </c>
      <c r="H302" s="6">
        <v>960</v>
      </c>
      <c r="I302" s="6">
        <v>1440</v>
      </c>
      <c r="J302" s="6">
        <f>IF(OR(G302="ágazaton kívüli",G302="n.a."),2.2,IF(OR(E302=2,E302=3,E302=4),VLOOKUP(G302,Szakmaszorzók!$B$2:$D$25,2,0),VLOOKUP(G302,Szakmaszorzók!$B$2:$D$25,3,0)))</f>
        <v>2.2000000000000002</v>
      </c>
      <c r="K302" s="173">
        <f>'Támogatás szorzat tényezői'!$C$2*'Támogatás szorzat tényezői'!$C$5*J302*(H302/1000)</f>
        <v>760320.00000000012</v>
      </c>
      <c r="L302" s="203" t="s">
        <v>2275</v>
      </c>
      <c r="M302" s="6">
        <f t="shared" si="22"/>
        <v>8</v>
      </c>
    </row>
    <row r="303" spans="1:13" ht="15.75" x14ac:dyDescent="0.25">
      <c r="A303" s="207">
        <v>244</v>
      </c>
      <c r="B303" s="6" t="s">
        <v>2491</v>
      </c>
      <c r="C303" s="204" t="s">
        <v>1572</v>
      </c>
      <c r="D303" s="204" t="str">
        <f t="shared" si="19"/>
        <v>0215</v>
      </c>
      <c r="E303" s="204" t="str">
        <f t="shared" si="20"/>
        <v>5</v>
      </c>
      <c r="F303" s="205" t="str">
        <f t="shared" si="21"/>
        <v>072</v>
      </c>
      <c r="G303" s="210" t="s">
        <v>1883</v>
      </c>
      <c r="H303" s="6">
        <v>922</v>
      </c>
      <c r="I303" s="6">
        <v>1106</v>
      </c>
      <c r="J303" s="6">
        <f>IF(OR(G303="ágazaton kívüli",G303="n.a."),2.2,IF(OR(E303=2,E303=3,E303=4),VLOOKUP(G303,Szakmaszorzók!$B$2:$D$25,2,0),VLOOKUP(G303,Szakmaszorzók!$B$2:$D$25,3,0)))</f>
        <v>2.2000000000000002</v>
      </c>
      <c r="K303" s="173">
        <f>'Támogatás szorzat tényezői'!$C$2*'Támogatás szorzat tényezői'!$C$5*J303*(H303/1000)</f>
        <v>730224.00000000012</v>
      </c>
      <c r="L303" s="203" t="s">
        <v>2279</v>
      </c>
      <c r="M303" s="6">
        <f t="shared" si="22"/>
        <v>8</v>
      </c>
    </row>
    <row r="304" spans="1:13" ht="15.75" x14ac:dyDescent="0.25">
      <c r="A304" s="207">
        <v>245</v>
      </c>
      <c r="B304" s="6" t="s">
        <v>2563</v>
      </c>
      <c r="C304" s="204" t="s">
        <v>1573</v>
      </c>
      <c r="D304" s="204" t="str">
        <f t="shared" si="19"/>
        <v>0215</v>
      </c>
      <c r="E304" s="204" t="str">
        <f t="shared" si="20"/>
        <v>5</v>
      </c>
      <c r="F304" s="205" t="str">
        <f t="shared" si="21"/>
        <v>073</v>
      </c>
      <c r="G304" s="210" t="s">
        <v>1883</v>
      </c>
      <c r="H304" s="6">
        <v>922</v>
      </c>
      <c r="I304" s="6">
        <v>1106</v>
      </c>
      <c r="J304" s="6">
        <f>IF(OR(G304="ágazaton kívüli",G304="n.a."),2.2,IF(OR(E304=2,E304=3,E304=4),VLOOKUP(G304,Szakmaszorzók!$B$2:$D$25,2,0),VLOOKUP(G304,Szakmaszorzók!$B$2:$D$25,3,0)))</f>
        <v>2.2000000000000002</v>
      </c>
      <c r="K304" s="173">
        <f>'Támogatás szorzat tényezői'!$C$2*'Támogatás szorzat tényezői'!$C$5*J304*(H304/1000)</f>
        <v>730224.00000000012</v>
      </c>
      <c r="L304" s="203" t="s">
        <v>2280</v>
      </c>
      <c r="M304" s="6">
        <f t="shared" si="22"/>
        <v>8</v>
      </c>
    </row>
    <row r="305" spans="1:13" ht="15.75" x14ac:dyDescent="0.25">
      <c r="A305" s="207">
        <v>246</v>
      </c>
      <c r="B305" s="6" t="s">
        <v>2492</v>
      </c>
      <c r="C305" s="204" t="s">
        <v>1574</v>
      </c>
      <c r="D305" s="204" t="str">
        <f t="shared" si="19"/>
        <v>0215</v>
      </c>
      <c r="E305" s="204" t="str">
        <f t="shared" si="20"/>
        <v>5</v>
      </c>
      <c r="F305" s="205" t="str">
        <f t="shared" si="21"/>
        <v>074</v>
      </c>
      <c r="G305" s="210" t="s">
        <v>1883</v>
      </c>
      <c r="H305" s="6">
        <v>922</v>
      </c>
      <c r="I305" s="6">
        <v>1106</v>
      </c>
      <c r="J305" s="6">
        <f>IF(OR(G305="ágazaton kívüli",G305="n.a."),2.2,IF(OR(E305=2,E305=3,E305=4),VLOOKUP(G305,Szakmaszorzók!$B$2:$D$25,2,0),VLOOKUP(G305,Szakmaszorzók!$B$2:$D$25,3,0)))</f>
        <v>2.2000000000000002</v>
      </c>
      <c r="K305" s="173">
        <f>'Támogatás szorzat tényezői'!$C$2*'Támogatás szorzat tényezői'!$C$5*J305*(H305/1000)</f>
        <v>730224.00000000012</v>
      </c>
      <c r="L305" s="203" t="s">
        <v>2281</v>
      </c>
      <c r="M305" s="6">
        <f t="shared" si="22"/>
        <v>8</v>
      </c>
    </row>
    <row r="306" spans="1:13" ht="15.75" x14ac:dyDescent="0.25">
      <c r="A306" s="207">
        <v>247</v>
      </c>
      <c r="B306" s="6" t="s">
        <v>2493</v>
      </c>
      <c r="C306" s="204" t="s">
        <v>1575</v>
      </c>
      <c r="D306" s="204" t="str">
        <f t="shared" si="19"/>
        <v>0215</v>
      </c>
      <c r="E306" s="204" t="str">
        <f t="shared" si="20"/>
        <v>5</v>
      </c>
      <c r="F306" s="205" t="str">
        <f t="shared" si="21"/>
        <v>075</v>
      </c>
      <c r="G306" s="210" t="s">
        <v>1883</v>
      </c>
      <c r="H306" s="6">
        <v>922</v>
      </c>
      <c r="I306" s="6">
        <v>1106</v>
      </c>
      <c r="J306" s="6">
        <f>IF(OR(G306="ágazaton kívüli",G306="n.a."),2.2,IF(OR(E306=2,E306=3,E306=4),VLOOKUP(G306,Szakmaszorzók!$B$2:$D$25,2,0),VLOOKUP(G306,Szakmaszorzók!$B$2:$D$25,3,0)))</f>
        <v>2.2000000000000002</v>
      </c>
      <c r="K306" s="173">
        <f>'Támogatás szorzat tényezői'!$C$2*'Támogatás szorzat tényezői'!$C$5*J306*(H306/1000)</f>
        <v>730224.00000000012</v>
      </c>
      <c r="L306" s="203" t="s">
        <v>2282</v>
      </c>
      <c r="M306" s="6">
        <f t="shared" si="22"/>
        <v>8</v>
      </c>
    </row>
    <row r="307" spans="1:13" ht="15.75" x14ac:dyDescent="0.25">
      <c r="A307" s="207">
        <v>248</v>
      </c>
      <c r="B307" s="6" t="s">
        <v>2564</v>
      </c>
      <c r="C307" s="204" t="s">
        <v>1576</v>
      </c>
      <c r="D307" s="204" t="str">
        <f t="shared" si="19"/>
        <v>0215</v>
      </c>
      <c r="E307" s="204" t="str">
        <f t="shared" si="20"/>
        <v>5</v>
      </c>
      <c r="F307" s="205" t="str">
        <f t="shared" si="21"/>
        <v>076</v>
      </c>
      <c r="G307" s="210" t="s">
        <v>1883</v>
      </c>
      <c r="H307" s="6">
        <v>922</v>
      </c>
      <c r="I307" s="6">
        <v>1106</v>
      </c>
      <c r="J307" s="6">
        <f>IF(OR(G307="ágazaton kívüli",G307="n.a."),2.2,IF(OR(E307=2,E307=3,E307=4),VLOOKUP(G307,Szakmaszorzók!$B$2:$D$25,2,0),VLOOKUP(G307,Szakmaszorzók!$B$2:$D$25,3,0)))</f>
        <v>2.2000000000000002</v>
      </c>
      <c r="K307" s="173">
        <f>'Támogatás szorzat tényezői'!$C$2*'Támogatás szorzat tényezői'!$C$5*J307*(H307/1000)</f>
        <v>730224.00000000012</v>
      </c>
      <c r="L307" s="203" t="s">
        <v>2283</v>
      </c>
      <c r="M307" s="6">
        <f t="shared" si="22"/>
        <v>8</v>
      </c>
    </row>
    <row r="308" spans="1:13" ht="15.75" x14ac:dyDescent="0.25">
      <c r="A308" s="207">
        <v>249</v>
      </c>
      <c r="B308" s="6" t="s">
        <v>2494</v>
      </c>
      <c r="C308" s="204" t="s">
        <v>1577</v>
      </c>
      <c r="D308" s="204" t="str">
        <f t="shared" si="19"/>
        <v>0215</v>
      </c>
      <c r="E308" s="204" t="str">
        <f t="shared" si="20"/>
        <v>5</v>
      </c>
      <c r="F308" s="205" t="str">
        <f t="shared" si="21"/>
        <v>071</v>
      </c>
      <c r="G308" s="210" t="s">
        <v>1883</v>
      </c>
      <c r="H308" s="6">
        <v>922</v>
      </c>
      <c r="I308" s="6">
        <v>1106</v>
      </c>
      <c r="J308" s="6">
        <f>IF(OR(G308="ágazaton kívüli",G308="n.a."),2.2,IF(OR(E308=2,E308=3,E308=4),VLOOKUP(G308,Szakmaszorzók!$B$2:$D$25,2,0),VLOOKUP(G308,Szakmaszorzók!$B$2:$D$25,3,0)))</f>
        <v>2.2000000000000002</v>
      </c>
      <c r="K308" s="173">
        <f>'Támogatás szorzat tényezői'!$C$2*'Támogatás szorzat tényezői'!$C$5*J308*(H308/1000)</f>
        <v>730224.00000000012</v>
      </c>
      <c r="L308" s="203" t="s">
        <v>2284</v>
      </c>
      <c r="M308" s="6">
        <f t="shared" si="22"/>
        <v>8</v>
      </c>
    </row>
    <row r="309" spans="1:13" ht="15.75" x14ac:dyDescent="0.25">
      <c r="A309" s="207">
        <v>250</v>
      </c>
      <c r="B309" s="6" t="s">
        <v>2495</v>
      </c>
      <c r="C309" s="204" t="s">
        <v>1578</v>
      </c>
      <c r="D309" s="204" t="str">
        <f t="shared" si="19"/>
        <v>0215</v>
      </c>
      <c r="E309" s="204" t="str">
        <f t="shared" si="20"/>
        <v>4</v>
      </c>
      <c r="F309" s="205" t="str">
        <f t="shared" si="21"/>
        <v>066</v>
      </c>
      <c r="G309" s="210" t="s">
        <v>1883</v>
      </c>
      <c r="H309" s="6">
        <v>2125</v>
      </c>
      <c r="I309" s="6">
        <v>2181</v>
      </c>
      <c r="J309" s="6">
        <f>IF(OR(G309="ágazaton kívüli",G309="n.a."),2.2,IF(OR(E309=2,E309=3,E309=4),VLOOKUP(G309,Szakmaszorzók!$B$2:$D$25,2,0),VLOOKUP(G309,Szakmaszorzók!$B$2:$D$25,3,0)))</f>
        <v>2.2000000000000002</v>
      </c>
      <c r="K309" s="173">
        <f>'Támogatás szorzat tényezői'!$C$2*'Támogatás szorzat tényezői'!$C$5*J309*(H309/1000)</f>
        <v>1683000.0000000002</v>
      </c>
      <c r="L309" s="203" t="s">
        <v>2285</v>
      </c>
      <c r="M309" s="6">
        <f t="shared" si="22"/>
        <v>8</v>
      </c>
    </row>
    <row r="310" spans="1:13" ht="15.75" x14ac:dyDescent="0.25">
      <c r="A310" s="207">
        <v>251</v>
      </c>
      <c r="B310" s="6" t="s">
        <v>2496</v>
      </c>
      <c r="C310" s="204" t="s">
        <v>1579</v>
      </c>
      <c r="D310" s="204" t="str">
        <f t="shared" ref="D310:D364" si="23">LEFT(C310,4)</f>
        <v>0215</v>
      </c>
      <c r="E310" s="204" t="str">
        <f t="shared" ref="E310:E364" si="24">LEFT(RIGHT(C310,4),1)</f>
        <v>4</v>
      </c>
      <c r="F310" s="205" t="str">
        <f t="shared" ref="F310:F364" si="25">RIGHT(C310,3)</f>
        <v>067</v>
      </c>
      <c r="G310" s="210" t="s">
        <v>1883</v>
      </c>
      <c r="H310" s="6">
        <v>2125</v>
      </c>
      <c r="I310" s="6">
        <v>2181</v>
      </c>
      <c r="J310" s="6">
        <f>IF(OR(G310="ágazaton kívüli",G310="n.a."),2.2,IF(OR(E310=2,E310=3,E310=4),VLOOKUP(G310,Szakmaszorzók!$B$2:$D$25,2,0),VLOOKUP(G310,Szakmaszorzók!$B$2:$D$25,3,0)))</f>
        <v>2.2000000000000002</v>
      </c>
      <c r="K310" s="173">
        <f>'Támogatás szorzat tényezői'!$C$2*'Támogatás szorzat tényezői'!$C$5*J310*(H310/1000)</f>
        <v>1683000.0000000002</v>
      </c>
      <c r="L310" s="203" t="s">
        <v>2286</v>
      </c>
      <c r="M310" s="6">
        <f t="shared" si="22"/>
        <v>8</v>
      </c>
    </row>
    <row r="311" spans="1:13" ht="15.75" x14ac:dyDescent="0.25">
      <c r="A311" s="207">
        <v>252</v>
      </c>
      <c r="B311" s="6" t="s">
        <v>2497</v>
      </c>
      <c r="C311" s="204" t="s">
        <v>1580</v>
      </c>
      <c r="D311" s="204" t="str">
        <f t="shared" si="23"/>
        <v>0215</v>
      </c>
      <c r="E311" s="204" t="str">
        <f t="shared" si="24"/>
        <v>4</v>
      </c>
      <c r="F311" s="205" t="str">
        <f t="shared" si="25"/>
        <v>068</v>
      </c>
      <c r="G311" s="210" t="s">
        <v>1883</v>
      </c>
      <c r="H311" s="6">
        <v>2125</v>
      </c>
      <c r="I311" s="6">
        <v>2181</v>
      </c>
      <c r="J311" s="6">
        <f>IF(OR(G311="ágazaton kívüli",G311="n.a."),2.2,IF(OR(E311=2,E311=3,E311=4),VLOOKUP(G311,Szakmaszorzók!$B$2:$D$25,2,0),VLOOKUP(G311,Szakmaszorzók!$B$2:$D$25,3,0)))</f>
        <v>2.2000000000000002</v>
      </c>
      <c r="K311" s="173">
        <f>'Támogatás szorzat tényezői'!$C$2*'Támogatás szorzat tényezői'!$C$5*J311*(H311/1000)</f>
        <v>1683000.0000000002</v>
      </c>
      <c r="L311" s="203" t="s">
        <v>2287</v>
      </c>
      <c r="M311" s="6">
        <f t="shared" si="22"/>
        <v>8</v>
      </c>
    </row>
    <row r="312" spans="1:13" ht="15.75" x14ac:dyDescent="0.25">
      <c r="A312" s="207">
        <v>253</v>
      </c>
      <c r="B312" s="6" t="s">
        <v>2498</v>
      </c>
      <c r="C312" s="204" t="s">
        <v>1581</v>
      </c>
      <c r="D312" s="204" t="str">
        <f t="shared" si="23"/>
        <v>0215</v>
      </c>
      <c r="E312" s="204" t="str">
        <f t="shared" si="24"/>
        <v>4</v>
      </c>
      <c r="F312" s="205" t="str">
        <f t="shared" si="25"/>
        <v>069</v>
      </c>
      <c r="G312" s="210" t="s">
        <v>1883</v>
      </c>
      <c r="H312" s="6">
        <v>2125</v>
      </c>
      <c r="I312" s="6">
        <v>2181</v>
      </c>
      <c r="J312" s="6">
        <f>IF(OR(G312="ágazaton kívüli",G312="n.a."),2.2,IF(OR(E312=2,E312=3,E312=4),VLOOKUP(G312,Szakmaszorzók!$B$2:$D$25,2,0),VLOOKUP(G312,Szakmaszorzók!$B$2:$D$25,3,0)))</f>
        <v>2.2000000000000002</v>
      </c>
      <c r="K312" s="173">
        <f>'Támogatás szorzat tényezői'!$C$2*'Támogatás szorzat tényezői'!$C$5*J312*(H312/1000)</f>
        <v>1683000.0000000002</v>
      </c>
      <c r="L312" s="203" t="s">
        <v>2288</v>
      </c>
      <c r="M312" s="6">
        <f t="shared" si="22"/>
        <v>8</v>
      </c>
    </row>
    <row r="313" spans="1:13" ht="15.75" x14ac:dyDescent="0.25">
      <c r="A313" s="207">
        <v>254</v>
      </c>
      <c r="B313" s="6" t="s">
        <v>2499</v>
      </c>
      <c r="C313" s="204" t="s">
        <v>1582</v>
      </c>
      <c r="D313" s="204" t="str">
        <f t="shared" si="23"/>
        <v>0215</v>
      </c>
      <c r="E313" s="204" t="str">
        <f t="shared" si="24"/>
        <v>4</v>
      </c>
      <c r="F313" s="205" t="str">
        <f t="shared" si="25"/>
        <v>070</v>
      </c>
      <c r="G313" s="210" t="s">
        <v>1883</v>
      </c>
      <c r="H313" s="6">
        <v>2125</v>
      </c>
      <c r="I313" s="6">
        <v>2181</v>
      </c>
      <c r="J313" s="6">
        <f>IF(OR(G313="ágazaton kívüli",G313="n.a."),2.2,IF(OR(E313=2,E313=3,E313=4),VLOOKUP(G313,Szakmaszorzók!$B$2:$D$25,2,0),VLOOKUP(G313,Szakmaszorzók!$B$2:$D$25,3,0)))</f>
        <v>2.2000000000000002</v>
      </c>
      <c r="K313" s="173">
        <f>'Támogatás szorzat tényezői'!$C$2*'Támogatás szorzat tényezői'!$C$5*J313*(H313/1000)</f>
        <v>1683000.0000000002</v>
      </c>
      <c r="L313" s="203" t="s">
        <v>2289</v>
      </c>
      <c r="M313" s="6">
        <f t="shared" si="22"/>
        <v>8</v>
      </c>
    </row>
    <row r="314" spans="1:13" ht="15.75" x14ac:dyDescent="0.25">
      <c r="A314" s="207">
        <v>255</v>
      </c>
      <c r="B314" s="6" t="s">
        <v>2500</v>
      </c>
      <c r="C314" s="204" t="s">
        <v>1583</v>
      </c>
      <c r="D314" s="204" t="str">
        <f t="shared" si="23"/>
        <v>0215</v>
      </c>
      <c r="E314" s="204" t="str">
        <f t="shared" si="24"/>
        <v>4</v>
      </c>
      <c r="F314" s="205" t="str">
        <f t="shared" si="25"/>
        <v>065</v>
      </c>
      <c r="G314" s="210" t="s">
        <v>1883</v>
      </c>
      <c r="H314" s="6">
        <v>2125</v>
      </c>
      <c r="I314" s="6">
        <v>2181</v>
      </c>
      <c r="J314" s="6">
        <f>IF(OR(G314="ágazaton kívüli",G314="n.a."),2.2,IF(OR(E314=2,E314=3,E314=4),VLOOKUP(G314,Szakmaszorzók!$B$2:$D$25,2,0),VLOOKUP(G314,Szakmaszorzók!$B$2:$D$25,3,0)))</f>
        <v>2.2000000000000002</v>
      </c>
      <c r="K314" s="173">
        <f>'Támogatás szorzat tényezői'!$C$2*'Támogatás szorzat tényezői'!$C$5*J314*(H314/1000)</f>
        <v>1683000.0000000002</v>
      </c>
      <c r="L314" s="203" t="s">
        <v>2290</v>
      </c>
      <c r="M314" s="6">
        <f t="shared" si="22"/>
        <v>8</v>
      </c>
    </row>
    <row r="315" spans="1:13" ht="15.75" x14ac:dyDescent="0.25">
      <c r="A315" s="207">
        <v>96</v>
      </c>
      <c r="B315" s="6" t="s">
        <v>2667</v>
      </c>
      <c r="C315" s="204" t="s">
        <v>1584</v>
      </c>
      <c r="D315" s="204" t="str">
        <f t="shared" si="23"/>
        <v>0723</v>
      </c>
      <c r="E315" s="204" t="str">
        <f t="shared" si="24"/>
        <v>4</v>
      </c>
      <c r="F315" s="205" t="str">
        <f t="shared" si="25"/>
        <v>006</v>
      </c>
      <c r="G315" s="6" t="s">
        <v>1298</v>
      </c>
      <c r="H315" s="6">
        <v>600</v>
      </c>
      <c r="I315" s="6">
        <v>800</v>
      </c>
      <c r="J315" s="6">
        <f>IF(OR(G315="ágazaton kívüli",G315="n.a."),2.2,IF(OR(E315=2,E315=3,E315=4),VLOOKUP(G315,Szakmaszorzók!$B$2:$D$25,2,0),VLOOKUP(G315,Szakmaszorzók!$B$2:$D$25,3,0)))</f>
        <v>2.42</v>
      </c>
      <c r="K315" s="173">
        <f>'Támogatás szorzat tényezői'!$C$2*'Támogatás szorzat tényezői'!$C$5*J315*(H315/1000)</f>
        <v>522720</v>
      </c>
      <c r="L315" s="203" t="s">
        <v>2131</v>
      </c>
      <c r="M315" s="6">
        <f t="shared" si="22"/>
        <v>8</v>
      </c>
    </row>
    <row r="316" spans="1:13" ht="15.75" x14ac:dyDescent="0.25">
      <c r="A316" s="207">
        <v>256</v>
      </c>
      <c r="B316" s="6" t="s">
        <v>2565</v>
      </c>
      <c r="C316" s="204" t="s">
        <v>1585</v>
      </c>
      <c r="D316" s="204" t="str">
        <f t="shared" si="23"/>
        <v>0215</v>
      </c>
      <c r="E316" s="204" t="str">
        <f t="shared" si="24"/>
        <v>5</v>
      </c>
      <c r="F316" s="205" t="str">
        <f t="shared" si="25"/>
        <v>081</v>
      </c>
      <c r="G316" s="210" t="s">
        <v>1883</v>
      </c>
      <c r="H316" s="210" t="s">
        <v>1883</v>
      </c>
      <c r="I316" s="210" t="s">
        <v>1883</v>
      </c>
      <c r="J316" s="6">
        <f>IF(OR(G316="ágazaton kívüli",G316="n.a."),2.2,IF(OR(E316=2,E316=3,E316=4),VLOOKUP(G316,Szakmaszorzók!$B$2:$D$25,2,0),VLOOKUP(G316,Szakmaszorzók!$B$2:$D$25,3,0)))</f>
        <v>2.2000000000000002</v>
      </c>
      <c r="K316" s="215" t="e">
        <f>'Támogatás szorzat tényezői'!$C$2*'Támogatás szorzat tényezői'!$C$5*J316*(H316/1000)</f>
        <v>#VALUE!</v>
      </c>
      <c r="L316" s="203" t="s">
        <v>2291</v>
      </c>
      <c r="M316" s="6">
        <f t="shared" si="22"/>
        <v>8</v>
      </c>
    </row>
    <row r="317" spans="1:13" ht="15.75" x14ac:dyDescent="0.25">
      <c r="A317" s="207">
        <v>257</v>
      </c>
      <c r="B317" s="6" t="s">
        <v>2501</v>
      </c>
      <c r="C317" s="204" t="s">
        <v>1586</v>
      </c>
      <c r="D317" s="204" t="str">
        <f t="shared" si="23"/>
        <v>0215</v>
      </c>
      <c r="E317" s="204" t="str">
        <f t="shared" si="24"/>
        <v>5</v>
      </c>
      <c r="F317" s="205" t="str">
        <f t="shared" si="25"/>
        <v>082</v>
      </c>
      <c r="G317" s="210" t="s">
        <v>1883</v>
      </c>
      <c r="H317" s="210" t="s">
        <v>1883</v>
      </c>
      <c r="I317" s="210" t="s">
        <v>1883</v>
      </c>
      <c r="J317" s="6">
        <f>IF(OR(G317="ágazaton kívüli",G317="n.a."),2.2,IF(OR(E317=2,E317=3,E317=4),VLOOKUP(G317,Szakmaszorzók!$B$2:$D$25,2,0),VLOOKUP(G317,Szakmaszorzók!$B$2:$D$25,3,0)))</f>
        <v>2.2000000000000002</v>
      </c>
      <c r="K317" s="215" t="e">
        <f>'Támogatás szorzat tényezői'!$C$2*'Támogatás szorzat tényezői'!$C$5*J317*(H317/1000)</f>
        <v>#VALUE!</v>
      </c>
      <c r="L317" s="203" t="s">
        <v>2292</v>
      </c>
      <c r="M317" s="6">
        <f t="shared" si="22"/>
        <v>8</v>
      </c>
    </row>
    <row r="318" spans="1:13" ht="15.75" x14ac:dyDescent="0.25">
      <c r="A318" s="207">
        <v>258</v>
      </c>
      <c r="B318" s="6" t="s">
        <v>2502</v>
      </c>
      <c r="C318" s="204" t="s">
        <v>1587</v>
      </c>
      <c r="D318" s="204" t="str">
        <f t="shared" si="23"/>
        <v>0215</v>
      </c>
      <c r="E318" s="204" t="str">
        <f t="shared" si="24"/>
        <v>5</v>
      </c>
      <c r="F318" s="205" t="str">
        <f t="shared" si="25"/>
        <v>083</v>
      </c>
      <c r="G318" s="210" t="s">
        <v>1883</v>
      </c>
      <c r="H318" s="210" t="s">
        <v>1883</v>
      </c>
      <c r="I318" s="210" t="s">
        <v>1883</v>
      </c>
      <c r="J318" s="6">
        <f>IF(OR(G318="ágazaton kívüli",G318="n.a."),2.2,IF(OR(E318=2,E318=3,E318=4),VLOOKUP(G318,Szakmaszorzók!$B$2:$D$25,2,0),VLOOKUP(G318,Szakmaszorzók!$B$2:$D$25,3,0)))</f>
        <v>2.2000000000000002</v>
      </c>
      <c r="K318" s="215" t="e">
        <f>'Támogatás szorzat tényezői'!$C$2*'Támogatás szorzat tényezői'!$C$5*J318*(H318/1000)</f>
        <v>#VALUE!</v>
      </c>
      <c r="L318" s="203" t="s">
        <v>2293</v>
      </c>
      <c r="M318" s="6">
        <f t="shared" si="22"/>
        <v>8</v>
      </c>
    </row>
    <row r="319" spans="1:13" ht="15.75" x14ac:dyDescent="0.25">
      <c r="A319" s="207">
        <v>259</v>
      </c>
      <c r="B319" s="6" t="s">
        <v>2566</v>
      </c>
      <c r="C319" s="204" t="s">
        <v>1588</v>
      </c>
      <c r="D319" s="204" t="str">
        <f t="shared" si="23"/>
        <v>0215</v>
      </c>
      <c r="E319" s="204" t="str">
        <f t="shared" si="24"/>
        <v>5</v>
      </c>
      <c r="F319" s="205" t="str">
        <f t="shared" si="25"/>
        <v>084</v>
      </c>
      <c r="G319" s="210" t="s">
        <v>1883</v>
      </c>
      <c r="H319" s="210" t="s">
        <v>1883</v>
      </c>
      <c r="I319" s="210" t="s">
        <v>1883</v>
      </c>
      <c r="J319" s="6">
        <f>IF(OR(G319="ágazaton kívüli",G319="n.a."),2.2,IF(OR(E319=2,E319=3,E319=4),VLOOKUP(G319,Szakmaszorzók!$B$2:$D$25,2,0),VLOOKUP(G319,Szakmaszorzók!$B$2:$D$25,3,0)))</f>
        <v>2.2000000000000002</v>
      </c>
      <c r="K319" s="215" t="e">
        <f>'Támogatás szorzat tényezői'!$C$2*'Támogatás szorzat tényezői'!$C$5*J319*(H319/1000)</f>
        <v>#VALUE!</v>
      </c>
      <c r="L319" s="203" t="s">
        <v>2294</v>
      </c>
      <c r="M319" s="6">
        <f t="shared" si="22"/>
        <v>8</v>
      </c>
    </row>
    <row r="320" spans="1:13" ht="15.75" x14ac:dyDescent="0.25">
      <c r="A320" s="207">
        <v>260</v>
      </c>
      <c r="B320" s="6" t="s">
        <v>2503</v>
      </c>
      <c r="C320" s="204" t="s">
        <v>1589</v>
      </c>
      <c r="D320" s="204" t="str">
        <f t="shared" si="23"/>
        <v>0215</v>
      </c>
      <c r="E320" s="204" t="str">
        <f t="shared" si="24"/>
        <v>4</v>
      </c>
      <c r="F320" s="205" t="str">
        <f t="shared" si="25"/>
        <v>077</v>
      </c>
      <c r="G320" s="210" t="s">
        <v>1883</v>
      </c>
      <c r="H320" s="210" t="s">
        <v>1883</v>
      </c>
      <c r="I320" s="210" t="s">
        <v>1883</v>
      </c>
      <c r="J320" s="6">
        <f>IF(OR(G320="ágazaton kívüli",G320="n.a."),2.2,IF(OR(E320=2,E320=3,E320=4),VLOOKUP(G320,Szakmaszorzók!$B$2:$D$25,2,0),VLOOKUP(G320,Szakmaszorzók!$B$2:$D$25,3,0)))</f>
        <v>2.2000000000000002</v>
      </c>
      <c r="K320" s="215" t="e">
        <f>'Támogatás szorzat tényezői'!$C$2*'Támogatás szorzat tényezői'!$C$5*J320*(H320/1000)</f>
        <v>#VALUE!</v>
      </c>
      <c r="L320" s="203" t="s">
        <v>2295</v>
      </c>
      <c r="M320" s="6">
        <f t="shared" si="22"/>
        <v>8</v>
      </c>
    </row>
    <row r="321" spans="1:13" ht="15.75" x14ac:dyDescent="0.25">
      <c r="A321" s="207">
        <v>261</v>
      </c>
      <c r="B321" s="6" t="s">
        <v>2807</v>
      </c>
      <c r="C321" s="204" t="s">
        <v>1590</v>
      </c>
      <c r="D321" s="204" t="str">
        <f t="shared" si="23"/>
        <v>0215</v>
      </c>
      <c r="E321" s="204" t="str">
        <f t="shared" si="24"/>
        <v>4</v>
      </c>
      <c r="F321" s="205" t="str">
        <f t="shared" si="25"/>
        <v>078</v>
      </c>
      <c r="G321" s="210" t="s">
        <v>1883</v>
      </c>
      <c r="H321" s="210" t="s">
        <v>1883</v>
      </c>
      <c r="I321" s="210" t="s">
        <v>1883</v>
      </c>
      <c r="J321" s="6">
        <f>IF(OR(G321="ágazaton kívüli",G321="n.a."),2.2,IF(OR(E321=2,E321=3,E321=4),VLOOKUP(G321,Szakmaszorzók!$B$2:$D$25,2,0),VLOOKUP(G321,Szakmaszorzók!$B$2:$D$25,3,0)))</f>
        <v>2.2000000000000002</v>
      </c>
      <c r="K321" s="215" t="e">
        <f>'Támogatás szorzat tényezői'!$C$2*'Támogatás szorzat tényezői'!$C$5*J321*(H321/1000)</f>
        <v>#VALUE!</v>
      </c>
      <c r="L321" s="203" t="s">
        <v>2296</v>
      </c>
      <c r="M321" s="6">
        <f t="shared" si="22"/>
        <v>8</v>
      </c>
    </row>
    <row r="322" spans="1:13" ht="15.75" x14ac:dyDescent="0.25">
      <c r="A322" s="207">
        <v>262</v>
      </c>
      <c r="B322" s="6" t="s">
        <v>2567</v>
      </c>
      <c r="C322" s="204" t="s">
        <v>1591</v>
      </c>
      <c r="D322" s="204" t="str">
        <f t="shared" si="23"/>
        <v>0215</v>
      </c>
      <c r="E322" s="204" t="str">
        <f t="shared" si="24"/>
        <v>4</v>
      </c>
      <c r="F322" s="205" t="str">
        <f t="shared" si="25"/>
        <v>079</v>
      </c>
      <c r="G322" s="210" t="s">
        <v>1883</v>
      </c>
      <c r="H322" s="210" t="s">
        <v>1883</v>
      </c>
      <c r="I322" s="210" t="s">
        <v>1883</v>
      </c>
      <c r="J322" s="6">
        <f>IF(OR(G322="ágazaton kívüli",G322="n.a."),2.2,IF(OR(E322=2,E322=3,E322=4),VLOOKUP(G322,Szakmaszorzók!$B$2:$D$25,2,0),VLOOKUP(G322,Szakmaszorzók!$B$2:$D$25,3,0)))</f>
        <v>2.2000000000000002</v>
      </c>
      <c r="K322" s="215" t="e">
        <f>'Támogatás szorzat tényezői'!$C$2*'Támogatás szorzat tényezői'!$C$5*J322*(H322/1000)</f>
        <v>#VALUE!</v>
      </c>
      <c r="L322" s="203" t="s">
        <v>2297</v>
      </c>
      <c r="M322" s="6">
        <f t="shared" ref="M322:M364" si="26">LEN(C322)</f>
        <v>8</v>
      </c>
    </row>
    <row r="323" spans="1:13" ht="15.75" x14ac:dyDescent="0.25">
      <c r="A323" s="207">
        <v>263</v>
      </c>
      <c r="B323" s="6" t="s">
        <v>2504</v>
      </c>
      <c r="C323" s="204" t="s">
        <v>1592</v>
      </c>
      <c r="D323" s="204" t="str">
        <f t="shared" si="23"/>
        <v>0215</v>
      </c>
      <c r="E323" s="204" t="str">
        <f t="shared" si="24"/>
        <v>4</v>
      </c>
      <c r="F323" s="205" t="str">
        <f t="shared" si="25"/>
        <v>080</v>
      </c>
      <c r="G323" s="210" t="s">
        <v>1883</v>
      </c>
      <c r="H323" s="210" t="s">
        <v>1883</v>
      </c>
      <c r="I323" s="210" t="s">
        <v>1883</v>
      </c>
      <c r="J323" s="6">
        <f>IF(OR(G323="ágazaton kívüli",G323="n.a."),2.2,IF(OR(E323=2,E323=3,E323=4),VLOOKUP(G323,Szakmaszorzók!$B$2:$D$25,2,0),VLOOKUP(G323,Szakmaszorzók!$B$2:$D$25,3,0)))</f>
        <v>2.2000000000000002</v>
      </c>
      <c r="K323" s="215" t="e">
        <f>'Támogatás szorzat tényezői'!$C$2*'Támogatás szorzat tényezői'!$C$5*J323*(H323/1000)</f>
        <v>#VALUE!</v>
      </c>
      <c r="L323" s="203" t="s">
        <v>2298</v>
      </c>
      <c r="M323" s="6">
        <f t="shared" si="26"/>
        <v>8</v>
      </c>
    </row>
    <row r="324" spans="1:13" ht="15.75" x14ac:dyDescent="0.25">
      <c r="A324" s="207">
        <v>295</v>
      </c>
      <c r="B324" s="6" t="s">
        <v>2738</v>
      </c>
      <c r="C324" s="204" t="s">
        <v>1632</v>
      </c>
      <c r="D324" s="204" t="str">
        <f t="shared" si="23"/>
        <v>0413</v>
      </c>
      <c r="E324" s="204" t="str">
        <f t="shared" si="24"/>
        <v>4</v>
      </c>
      <c r="F324" s="205" t="str">
        <f t="shared" si="25"/>
        <v>002</v>
      </c>
      <c r="G324" s="6" t="s">
        <v>1389</v>
      </c>
      <c r="H324" s="6">
        <v>240</v>
      </c>
      <c r="I324" s="6">
        <v>360</v>
      </c>
      <c r="J324" s="6">
        <f>IF(OR(G324="ágazaton kívüli",G324="n.a."),2.2,IF(OR(E324=2,E324=3,E324=4),VLOOKUP(G324,Szakmaszorzók!$B$2:$D$25,2,0),VLOOKUP(G324,Szakmaszorzók!$B$2:$D$25,3,0)))</f>
        <v>2.2000000000000002</v>
      </c>
      <c r="K324" s="173">
        <f>'Támogatás szorzat tényezői'!$C$2*'Támogatás szorzat tényezői'!$C$5*J324*(H324/1000)</f>
        <v>190080.00000000003</v>
      </c>
      <c r="L324" s="203" t="s">
        <v>2330</v>
      </c>
      <c r="M324" s="6">
        <f t="shared" si="26"/>
        <v>8</v>
      </c>
    </row>
    <row r="325" spans="1:13" ht="15.75" x14ac:dyDescent="0.25">
      <c r="A325" s="207">
        <v>123</v>
      </c>
      <c r="B325" s="6" t="s">
        <v>2680</v>
      </c>
      <c r="C325" s="204" t="s">
        <v>1699</v>
      </c>
      <c r="D325" s="208" t="str">
        <f t="shared" si="23"/>
        <v>0819</v>
      </c>
      <c r="E325" s="208" t="str">
        <f t="shared" si="24"/>
        <v>5</v>
      </c>
      <c r="F325" s="209" t="str">
        <f t="shared" si="25"/>
        <v>002</v>
      </c>
      <c r="G325" s="6" t="s">
        <v>1316</v>
      </c>
      <c r="H325" s="6">
        <v>480</v>
      </c>
      <c r="I325" s="6">
        <v>600</v>
      </c>
      <c r="J325" s="6">
        <f>IF(OR(G325="ágazaton kívüli",G325="n.a."),2.2,IF(OR(E325=2,E325=3,E325=4),VLOOKUP(G325,Szakmaszorzók!$B$2:$D$25,2,0),VLOOKUP(G325,Szakmaszorzók!$B$2:$D$25,3,0)))</f>
        <v>2.85</v>
      </c>
      <c r="K325" s="173">
        <f>'Támogatás szorzat tényezői'!$C$2*'Támogatás szorzat tényezői'!$C$5*J325*(H325/1000)</f>
        <v>492480</v>
      </c>
      <c r="L325" s="203" t="s">
        <v>2158</v>
      </c>
      <c r="M325" s="6">
        <f t="shared" si="26"/>
        <v>8</v>
      </c>
    </row>
    <row r="326" spans="1:13" ht="15.75" x14ac:dyDescent="0.25">
      <c r="A326" s="207">
        <v>108</v>
      </c>
      <c r="B326" s="6" t="s">
        <v>2419</v>
      </c>
      <c r="C326" s="204" t="s">
        <v>1651</v>
      </c>
      <c r="D326" s="204" t="str">
        <f t="shared" si="23"/>
        <v>0619</v>
      </c>
      <c r="E326" s="204" t="str">
        <f t="shared" si="24"/>
        <v>4</v>
      </c>
      <c r="F326" s="205" t="str">
        <f t="shared" si="25"/>
        <v>006</v>
      </c>
      <c r="G326" s="6" t="s">
        <v>1353</v>
      </c>
      <c r="H326" s="6">
        <v>600</v>
      </c>
      <c r="I326" s="6">
        <v>800</v>
      </c>
      <c r="J326" s="6">
        <f>IF(OR(G326="ágazaton kívüli",G326="n.a."),2.2,IF(OR(E326=2,E326=3,E326=4),VLOOKUP(G326,Szakmaszorzók!$B$2:$D$25,2,0),VLOOKUP(G326,Szakmaszorzók!$B$2:$D$25,3,0)))</f>
        <v>2.2000000000000002</v>
      </c>
      <c r="K326" s="173">
        <f>'Támogatás szorzat tényezői'!$C$2*'Támogatás szorzat tényezői'!$C$5*J326*(H326/1000)</f>
        <v>475200.00000000006</v>
      </c>
      <c r="L326" s="203" t="s">
        <v>2143</v>
      </c>
      <c r="M326" s="6">
        <f t="shared" si="26"/>
        <v>8</v>
      </c>
    </row>
    <row r="327" spans="1:13" ht="15.75" x14ac:dyDescent="0.25">
      <c r="A327" s="207">
        <v>270</v>
      </c>
      <c r="B327" s="6" t="s">
        <v>2715</v>
      </c>
      <c r="C327" s="204">
        <v>10114001</v>
      </c>
      <c r="D327" s="204" t="str">
        <f t="shared" si="23"/>
        <v>1011</v>
      </c>
      <c r="E327" s="204" t="str">
        <f t="shared" si="24"/>
        <v>4</v>
      </c>
      <c r="F327" s="205" t="str">
        <f t="shared" si="25"/>
        <v>001</v>
      </c>
      <c r="G327" s="6" t="s">
        <v>1373</v>
      </c>
      <c r="H327" s="6">
        <v>200</v>
      </c>
      <c r="I327" s="6">
        <v>250</v>
      </c>
      <c r="J327" s="6">
        <f>IF(OR(G327="ágazaton kívüli",G327="n.a."),2.2,IF(OR(E327=2,E327=3,E327=4),VLOOKUP(G327,Szakmaszorzók!$B$2:$D$25,2,0),VLOOKUP(G327,Szakmaszorzók!$B$2:$D$25,3,0)))</f>
        <v>2.2000000000000002</v>
      </c>
      <c r="K327" s="173">
        <f>'Támogatás szorzat tényezői'!$C$2*'Támogatás szorzat tényezői'!$C$5*J327*(H327/1000)</f>
        <v>158400.00000000003</v>
      </c>
      <c r="L327" s="203" t="s">
        <v>2305</v>
      </c>
      <c r="M327" s="6">
        <f t="shared" si="26"/>
        <v>8</v>
      </c>
    </row>
    <row r="328" spans="1:13" ht="15.75" x14ac:dyDescent="0.25">
      <c r="A328" s="207">
        <v>58</v>
      </c>
      <c r="B328" s="6" t="s">
        <v>2631</v>
      </c>
      <c r="C328" s="204" t="s">
        <v>1683</v>
      </c>
      <c r="D328" s="204" t="str">
        <f t="shared" si="23"/>
        <v>0731</v>
      </c>
      <c r="E328" s="204" t="str">
        <f t="shared" si="24"/>
        <v>5</v>
      </c>
      <c r="F328" s="205" t="str">
        <f t="shared" si="25"/>
        <v>001</v>
      </c>
      <c r="G328" s="6" t="s">
        <v>1316</v>
      </c>
      <c r="H328" s="6">
        <v>960</v>
      </c>
      <c r="I328" s="6">
        <v>1200</v>
      </c>
      <c r="J328" s="6">
        <f>IF(OR(G328="ágazaton kívüli",G328="n.a."),2.2,IF(OR(E328=2,E328=3,E328=4),VLOOKUP(G328,Szakmaszorzók!$B$2:$D$25,2,0),VLOOKUP(G328,Szakmaszorzók!$B$2:$D$25,3,0)))</f>
        <v>2.85</v>
      </c>
      <c r="K328" s="173">
        <f>'Támogatás szorzat tényezői'!$C$2*'Támogatás szorzat tényezői'!$C$5*J328*(H328/1000)</f>
        <v>984960</v>
      </c>
      <c r="L328" s="203" t="s">
        <v>2093</v>
      </c>
      <c r="M328" s="6">
        <f t="shared" si="26"/>
        <v>8</v>
      </c>
    </row>
    <row r="329" spans="1:13" ht="15.75" x14ac:dyDescent="0.25">
      <c r="A329" s="207">
        <v>268</v>
      </c>
      <c r="B329" s="6" t="s">
        <v>2713</v>
      </c>
      <c r="C329" s="204">
        <v>10125002</v>
      </c>
      <c r="D329" s="204" t="str">
        <f t="shared" si="23"/>
        <v>1012</v>
      </c>
      <c r="E329" s="204" t="str">
        <f t="shared" si="24"/>
        <v>5</v>
      </c>
      <c r="F329" s="205" t="str">
        <f t="shared" si="25"/>
        <v>002</v>
      </c>
      <c r="G329" s="6" t="s">
        <v>1327</v>
      </c>
      <c r="H329" s="6">
        <v>450</v>
      </c>
      <c r="I329" s="6">
        <v>540</v>
      </c>
      <c r="J329" s="6">
        <f>IF(OR(G329="ágazaton kívüli",G329="n.a."),2.2,IF(OR(E329=2,E329=3,E329=4),VLOOKUP(G329,Szakmaszorzók!$B$2:$D$25,2,0),VLOOKUP(G329,Szakmaszorzók!$B$2:$D$25,3,0)))</f>
        <v>2.42</v>
      </c>
      <c r="K329" s="173">
        <f>'Támogatás szorzat tényezői'!$C$2*'Támogatás szorzat tényezői'!$C$5*J329*(H329/1000)</f>
        <v>392040</v>
      </c>
      <c r="L329" s="203" t="s">
        <v>2303</v>
      </c>
      <c r="M329" s="6">
        <f t="shared" si="26"/>
        <v>8</v>
      </c>
    </row>
    <row r="330" spans="1:13" ht="15.75" x14ac:dyDescent="0.25">
      <c r="A330" s="207">
        <v>97</v>
      </c>
      <c r="B330" s="6" t="s">
        <v>2668</v>
      </c>
      <c r="C330" s="204" t="s">
        <v>1593</v>
      </c>
      <c r="D330" s="204" t="str">
        <f t="shared" si="23"/>
        <v>0723</v>
      </c>
      <c r="E330" s="204" t="str">
        <f t="shared" si="24"/>
        <v>3</v>
      </c>
      <c r="F330" s="205" t="str">
        <f t="shared" si="25"/>
        <v>004</v>
      </c>
      <c r="G330" s="6" t="s">
        <v>1298</v>
      </c>
      <c r="H330" s="6">
        <v>250</v>
      </c>
      <c r="I330" s="6">
        <v>320</v>
      </c>
      <c r="J330" s="6">
        <f>IF(OR(G330="ágazaton kívüli",G330="n.a."),2.2,IF(OR(E330=2,E330=3,E330=4),VLOOKUP(G330,Szakmaszorzók!$B$2:$D$25,2,0),VLOOKUP(G330,Szakmaszorzók!$B$2:$D$25,3,0)))</f>
        <v>2.42</v>
      </c>
      <c r="K330" s="173">
        <f>'Támogatás szorzat tényezői'!$C$2*'Támogatás szorzat tényezői'!$C$5*J330*(H330/1000)</f>
        <v>217800</v>
      </c>
      <c r="L330" s="203" t="s">
        <v>2132</v>
      </c>
      <c r="M330" s="6">
        <f t="shared" si="26"/>
        <v>8</v>
      </c>
    </row>
    <row r="331" spans="1:13" ht="15.75" x14ac:dyDescent="0.25">
      <c r="A331" s="207">
        <v>278</v>
      </c>
      <c r="B331" s="6" t="s">
        <v>2723</v>
      </c>
      <c r="C331" s="204">
        <v>10134004</v>
      </c>
      <c r="D331" s="204" t="str">
        <f t="shared" si="23"/>
        <v>1013</v>
      </c>
      <c r="E331" s="204" t="str">
        <f t="shared" si="24"/>
        <v>4</v>
      </c>
      <c r="F331" s="205" t="str">
        <f t="shared" si="25"/>
        <v>004</v>
      </c>
      <c r="G331" s="6" t="s">
        <v>1303</v>
      </c>
      <c r="H331" s="6">
        <v>200</v>
      </c>
      <c r="I331" s="6">
        <v>260</v>
      </c>
      <c r="J331" s="6">
        <f>IF(OR(G331="ágazaton kívüli",G331="n.a."),2.2,IF(OR(E331=2,E331=3,E331=4),VLOOKUP(G331,Szakmaszorzók!$B$2:$D$25,2,0),VLOOKUP(G331,Szakmaszorzók!$B$2:$D$25,3,0)))</f>
        <v>2.2000000000000002</v>
      </c>
      <c r="K331" s="173">
        <f>'Támogatás szorzat tényezői'!$C$2*'Támogatás szorzat tényezői'!$C$5*J331*(H331/1000)</f>
        <v>158400.00000000003</v>
      </c>
      <c r="L331" s="203" t="s">
        <v>2313</v>
      </c>
      <c r="M331" s="6">
        <f t="shared" si="26"/>
        <v>8</v>
      </c>
    </row>
    <row r="332" spans="1:13" ht="15.75" x14ac:dyDescent="0.25">
      <c r="A332" s="207">
        <v>312</v>
      </c>
      <c r="B332" s="6" t="s">
        <v>2741</v>
      </c>
      <c r="C332" s="204" t="s">
        <v>1594</v>
      </c>
      <c r="D332" s="204" t="str">
        <f t="shared" si="23"/>
        <v>0416</v>
      </c>
      <c r="E332" s="204" t="str">
        <f t="shared" si="24"/>
        <v>3</v>
      </c>
      <c r="F332" s="205" t="str">
        <f t="shared" si="25"/>
        <v>017</v>
      </c>
      <c r="G332" s="6" t="s">
        <v>1293</v>
      </c>
      <c r="H332" s="6">
        <v>240</v>
      </c>
      <c r="I332" s="6">
        <v>300</v>
      </c>
      <c r="J332" s="6">
        <f>IF(OR(G332="ágazaton kívüli",G332="n.a."),2.2,IF(OR(E332=2,E332=3,E332=4),VLOOKUP(G332,Szakmaszorzók!$B$2:$D$25,2,0),VLOOKUP(G332,Szakmaszorzók!$B$2:$D$25,3,0)))</f>
        <v>2.42</v>
      </c>
      <c r="K332" s="173">
        <f>'Támogatás szorzat tényezői'!$C$2*'Támogatás szorzat tényezői'!$C$5*J332*(H332/1000)</f>
        <v>209088</v>
      </c>
      <c r="L332" s="203" t="s">
        <v>2347</v>
      </c>
      <c r="M332" s="6">
        <f t="shared" si="26"/>
        <v>8</v>
      </c>
    </row>
    <row r="333" spans="1:13" ht="15.75" x14ac:dyDescent="0.25">
      <c r="A333" s="207">
        <v>359</v>
      </c>
      <c r="B333" s="6" t="s">
        <v>2769</v>
      </c>
      <c r="C333" s="204">
        <v>10323008</v>
      </c>
      <c r="D333" s="204" t="str">
        <f t="shared" si="23"/>
        <v>1032</v>
      </c>
      <c r="E333" s="204" t="str">
        <f t="shared" si="24"/>
        <v>3</v>
      </c>
      <c r="F333" s="205" t="str">
        <f t="shared" si="25"/>
        <v>008</v>
      </c>
      <c r="G333" s="6" t="s">
        <v>1373</v>
      </c>
      <c r="H333" s="6">
        <v>500</v>
      </c>
      <c r="I333" s="6">
        <v>700</v>
      </c>
      <c r="J333" s="6">
        <f>IF(OR(G333="ágazaton kívüli",G333="n.a."),2.2,IF(OR(E333=2,E333=3,E333=4),VLOOKUP(G333,Szakmaszorzók!$B$2:$D$25,2,0),VLOOKUP(G333,Szakmaszorzók!$B$2:$D$25,3,0)))</f>
        <v>2.2000000000000002</v>
      </c>
      <c r="K333" s="173">
        <f>'Támogatás szorzat tényezői'!$C$2*'Támogatás szorzat tényezői'!$C$5*J333*(H333/1000)</f>
        <v>396000.00000000006</v>
      </c>
      <c r="L333" s="203" t="s">
        <v>2394</v>
      </c>
      <c r="M333" s="6">
        <f t="shared" si="26"/>
        <v>8</v>
      </c>
    </row>
    <row r="334" spans="1:13" ht="15.75" x14ac:dyDescent="0.25">
      <c r="A334" s="207">
        <v>360</v>
      </c>
      <c r="B334" s="6" t="s">
        <v>2533</v>
      </c>
      <c r="C334" s="204">
        <v>10325013</v>
      </c>
      <c r="D334" s="204" t="str">
        <f t="shared" si="23"/>
        <v>1032</v>
      </c>
      <c r="E334" s="204" t="str">
        <f t="shared" si="24"/>
        <v>5</v>
      </c>
      <c r="F334" s="205" t="str">
        <f t="shared" si="25"/>
        <v>013</v>
      </c>
      <c r="G334" s="6" t="s">
        <v>1373</v>
      </c>
      <c r="H334" s="6">
        <v>700</v>
      </c>
      <c r="I334" s="6">
        <v>900</v>
      </c>
      <c r="J334" s="6">
        <f>IF(OR(G334="ágazaton kívüli",G334="n.a."),2.2,IF(OR(E334=2,E334=3,E334=4),VLOOKUP(G334,Szakmaszorzók!$B$2:$D$25,2,0),VLOOKUP(G334,Szakmaszorzók!$B$2:$D$25,3,0)))</f>
        <v>2.2000000000000002</v>
      </c>
      <c r="K334" s="173">
        <f>'Támogatás szorzat tényezői'!$C$2*'Támogatás szorzat tényezői'!$C$5*J334*(H334/1000)</f>
        <v>554400</v>
      </c>
      <c r="L334" s="203" t="s">
        <v>2395</v>
      </c>
      <c r="M334" s="6">
        <f t="shared" si="26"/>
        <v>8</v>
      </c>
    </row>
    <row r="335" spans="1:13" ht="15.75" x14ac:dyDescent="0.25">
      <c r="A335" s="207">
        <v>361</v>
      </c>
      <c r="B335" s="6" t="s">
        <v>2534</v>
      </c>
      <c r="C335" s="204">
        <v>10324017</v>
      </c>
      <c r="D335" s="204" t="str">
        <f t="shared" si="23"/>
        <v>1032</v>
      </c>
      <c r="E335" s="204" t="str">
        <f t="shared" si="24"/>
        <v>4</v>
      </c>
      <c r="F335" s="205" t="str">
        <f t="shared" si="25"/>
        <v>017</v>
      </c>
      <c r="G335" s="6" t="s">
        <v>1373</v>
      </c>
      <c r="H335" s="6">
        <v>250</v>
      </c>
      <c r="I335" s="6">
        <v>320</v>
      </c>
      <c r="J335" s="6">
        <f>IF(OR(G335="ágazaton kívüli",G335="n.a."),2.2,IF(OR(E335=2,E335=3,E335=4),VLOOKUP(G335,Szakmaszorzók!$B$2:$D$25,2,0),VLOOKUP(G335,Szakmaszorzók!$B$2:$D$25,3,0)))</f>
        <v>2.2000000000000002</v>
      </c>
      <c r="K335" s="173">
        <f>'Támogatás szorzat tényezői'!$C$2*'Támogatás szorzat tényezői'!$C$5*J335*(H335/1000)</f>
        <v>198000.00000000003</v>
      </c>
      <c r="L335" s="203" t="s">
        <v>2396</v>
      </c>
      <c r="M335" s="6">
        <f t="shared" si="26"/>
        <v>8</v>
      </c>
    </row>
    <row r="336" spans="1:13" ht="15.75" x14ac:dyDescent="0.25">
      <c r="A336" s="207">
        <v>362</v>
      </c>
      <c r="B336" s="6" t="s">
        <v>2535</v>
      </c>
      <c r="C336" s="204">
        <v>10324018</v>
      </c>
      <c r="D336" s="204" t="str">
        <f t="shared" si="23"/>
        <v>1032</v>
      </c>
      <c r="E336" s="204" t="str">
        <f t="shared" si="24"/>
        <v>4</v>
      </c>
      <c r="F336" s="205" t="str">
        <f t="shared" si="25"/>
        <v>018</v>
      </c>
      <c r="G336" s="6" t="s">
        <v>1373</v>
      </c>
      <c r="H336" s="6">
        <v>180</v>
      </c>
      <c r="I336" s="6">
        <v>250</v>
      </c>
      <c r="J336" s="6">
        <f>IF(OR(G336="ágazaton kívüli",G336="n.a."),2.2,IF(OR(E336=2,E336=3,E336=4),VLOOKUP(G336,Szakmaszorzók!$B$2:$D$25,2,0),VLOOKUP(G336,Szakmaszorzók!$B$2:$D$25,3,0)))</f>
        <v>2.2000000000000002</v>
      </c>
      <c r="K336" s="173">
        <f>'Támogatás szorzat tényezői'!$C$2*'Támogatás szorzat tényezői'!$C$5*J336*(H336/1000)</f>
        <v>142560.00000000003</v>
      </c>
      <c r="L336" s="203" t="s">
        <v>2397</v>
      </c>
      <c r="M336" s="6">
        <f t="shared" si="26"/>
        <v>8</v>
      </c>
    </row>
    <row r="337" spans="1:13" ht="15.75" x14ac:dyDescent="0.25">
      <c r="A337" s="207">
        <v>171</v>
      </c>
      <c r="B337" s="6" t="s">
        <v>2703</v>
      </c>
      <c r="C337" s="204" t="s">
        <v>2792</v>
      </c>
      <c r="D337" s="208" t="str">
        <f t="shared" si="23"/>
        <v>0214</v>
      </c>
      <c r="E337" s="208" t="str">
        <f t="shared" si="24"/>
        <v>3</v>
      </c>
      <c r="F337" s="209" t="str">
        <f t="shared" si="25"/>
        <v>017</v>
      </c>
      <c r="G337" s="6" t="s">
        <v>1298</v>
      </c>
      <c r="H337" s="6">
        <v>500</v>
      </c>
      <c r="I337" s="6">
        <v>700</v>
      </c>
      <c r="J337" s="6">
        <f>IF(OR(G337="ágazaton kívüli",G337="n.a."),2.2,IF(OR(E337=2,E337=3,E337=4),VLOOKUP(G337,Szakmaszorzók!$B$2:$D$25,2,0),VLOOKUP(G337,Szakmaszorzók!$B$2:$D$25,3,0)))</f>
        <v>2.42</v>
      </c>
      <c r="K337" s="173">
        <f>'Támogatás szorzat tényezői'!$C$2*'Támogatás szorzat tényezői'!$C$5*J337*(H337/1000)</f>
        <v>435600</v>
      </c>
      <c r="L337" s="203" t="s">
        <v>2206</v>
      </c>
      <c r="M337" s="6">
        <f t="shared" si="26"/>
        <v>8</v>
      </c>
    </row>
    <row r="338" spans="1:13" ht="15.75" x14ac:dyDescent="0.25">
      <c r="A338" s="207">
        <v>67</v>
      </c>
      <c r="B338" s="6" t="s">
        <v>2640</v>
      </c>
      <c r="C338" s="204" t="s">
        <v>1595</v>
      </c>
      <c r="D338" s="204" t="str">
        <f t="shared" si="23"/>
        <v>0732</v>
      </c>
      <c r="E338" s="204" t="str">
        <f t="shared" si="24"/>
        <v>3</v>
      </c>
      <c r="F338" s="205" t="str">
        <f t="shared" si="25"/>
        <v>006</v>
      </c>
      <c r="G338" s="6" t="s">
        <v>1282</v>
      </c>
      <c r="H338" s="6">
        <v>140</v>
      </c>
      <c r="I338" s="6">
        <v>200</v>
      </c>
      <c r="J338" s="6">
        <f>IF(OR(G338="ágazaton kívüli",G338="n.a."),2.2,IF(OR(E338=2,E338=3,E338=4),VLOOKUP(G338,Szakmaszorzók!$B$2:$D$25,2,0),VLOOKUP(G338,Szakmaszorzók!$B$2:$D$25,3,0)))</f>
        <v>2.42</v>
      </c>
      <c r="K338" s="173">
        <f>'Támogatás szorzat tényezői'!$C$2*'Támogatás szorzat tényezői'!$C$5*J338*(H338/1000)</f>
        <v>121968.00000000001</v>
      </c>
      <c r="L338" s="203" t="s">
        <v>2102</v>
      </c>
      <c r="M338" s="6">
        <f t="shared" si="26"/>
        <v>8</v>
      </c>
    </row>
    <row r="339" spans="1:13" ht="15.75" x14ac:dyDescent="0.25">
      <c r="A339" s="207">
        <v>101</v>
      </c>
      <c r="B339" s="6" t="s">
        <v>2672</v>
      </c>
      <c r="C339" s="204" t="s">
        <v>1636</v>
      </c>
      <c r="D339" s="204" t="str">
        <f t="shared" si="23"/>
        <v>0531</v>
      </c>
      <c r="E339" s="204" t="str">
        <f t="shared" si="24"/>
        <v>3</v>
      </c>
      <c r="F339" s="205" t="str">
        <f t="shared" si="25"/>
        <v>003</v>
      </c>
      <c r="G339" s="6" t="s">
        <v>1280</v>
      </c>
      <c r="H339" s="6">
        <v>480</v>
      </c>
      <c r="I339" s="6">
        <v>720</v>
      </c>
      <c r="J339" s="6">
        <f>IF(OR(G339="ágazaton kívüli",G339="n.a."),2.2,IF(OR(E339=2,E339=3,E339=4),VLOOKUP(G339,Szakmaszorzók!$B$2:$D$25,2,0),VLOOKUP(G339,Szakmaszorzók!$B$2:$D$25,3,0)))</f>
        <v>2.85</v>
      </c>
      <c r="K339" s="173">
        <f>'Támogatás szorzat tényezői'!$C$2*'Támogatás szorzat tényezői'!$C$5*J339*(H339/1000)</f>
        <v>492480</v>
      </c>
      <c r="L339" s="203" t="s">
        <v>2136</v>
      </c>
      <c r="M339" s="6">
        <f t="shared" si="26"/>
        <v>8</v>
      </c>
    </row>
    <row r="340" spans="1:13" ht="15.75" x14ac:dyDescent="0.25">
      <c r="A340" s="207">
        <v>313</v>
      </c>
      <c r="B340" s="6" t="s">
        <v>2570</v>
      </c>
      <c r="C340" s="204" t="s">
        <v>1596</v>
      </c>
      <c r="D340" s="204" t="str">
        <f t="shared" si="23"/>
        <v>0416</v>
      </c>
      <c r="E340" s="204" t="str">
        <f t="shared" si="24"/>
        <v>5</v>
      </c>
      <c r="F340" s="205" t="str">
        <f t="shared" si="25"/>
        <v>006</v>
      </c>
      <c r="G340" s="6" t="s">
        <v>1351</v>
      </c>
      <c r="H340" s="6">
        <v>140</v>
      </c>
      <c r="I340" s="6">
        <v>200</v>
      </c>
      <c r="J340" s="6">
        <f>IF(OR(G340="ágazaton kívüli",G340="n.a."),2.2,IF(OR(E340=2,E340=3,E340=4),VLOOKUP(G340,Szakmaszorzók!$B$2:$D$25,2,0),VLOOKUP(G340,Szakmaszorzók!$B$2:$D$25,3,0)))</f>
        <v>2.2000000000000002</v>
      </c>
      <c r="K340" s="173">
        <f>'Támogatás szorzat tényezői'!$C$2*'Támogatás szorzat tényezői'!$C$5*J340*(H340/1000)</f>
        <v>110880.00000000003</v>
      </c>
      <c r="L340" s="203" t="s">
        <v>2348</v>
      </c>
      <c r="M340" s="6">
        <f t="shared" si="26"/>
        <v>8</v>
      </c>
    </row>
    <row r="341" spans="1:13" ht="15.75" x14ac:dyDescent="0.25">
      <c r="A341" s="207">
        <v>89</v>
      </c>
      <c r="B341" s="6" t="s">
        <v>2660</v>
      </c>
      <c r="C341" s="204" t="s">
        <v>1597</v>
      </c>
      <c r="D341" s="204" t="str">
        <f t="shared" si="23"/>
        <v>0722</v>
      </c>
      <c r="E341" s="204" t="str">
        <f t="shared" si="24"/>
        <v>3</v>
      </c>
      <c r="F341" s="205" t="str">
        <f t="shared" si="25"/>
        <v>008</v>
      </c>
      <c r="G341" s="6" t="s">
        <v>1280</v>
      </c>
      <c r="H341" s="6">
        <v>130</v>
      </c>
      <c r="I341" s="6">
        <v>250</v>
      </c>
      <c r="J341" s="6">
        <f>IF(OR(G341="ágazaton kívüli",G341="n.a."),2.2,IF(OR(E341=2,E341=3,E341=4),VLOOKUP(G341,Szakmaszorzók!$B$2:$D$25,2,0),VLOOKUP(G341,Szakmaszorzók!$B$2:$D$25,3,0)))</f>
        <v>2.85</v>
      </c>
      <c r="K341" s="173">
        <f>'Támogatás szorzat tényezői'!$C$2*'Támogatás szorzat tényezői'!$C$5*J341*(H341/1000)</f>
        <v>133380</v>
      </c>
      <c r="L341" s="203" t="s">
        <v>2124</v>
      </c>
      <c r="M341" s="6">
        <f t="shared" si="26"/>
        <v>8</v>
      </c>
    </row>
    <row r="342" spans="1:13" ht="15.75" x14ac:dyDescent="0.25">
      <c r="A342" s="207">
        <v>363</v>
      </c>
      <c r="B342" s="6" t="s">
        <v>2536</v>
      </c>
      <c r="C342" s="204">
        <v>10324020</v>
      </c>
      <c r="D342" s="204" t="str">
        <f t="shared" si="23"/>
        <v>1032</v>
      </c>
      <c r="E342" s="204" t="str">
        <f t="shared" si="24"/>
        <v>4</v>
      </c>
      <c r="F342" s="205" t="str">
        <f t="shared" si="25"/>
        <v>020</v>
      </c>
      <c r="G342" s="6" t="s">
        <v>1373</v>
      </c>
      <c r="H342" s="6">
        <v>200</v>
      </c>
      <c r="I342" s="6">
        <v>250</v>
      </c>
      <c r="J342" s="6">
        <f>IF(OR(G342="ágazaton kívüli",G342="n.a."),2.2,IF(OR(E342=2,E342=3,E342=4),VLOOKUP(G342,Szakmaszorzók!$B$2:$D$25,2,0),VLOOKUP(G342,Szakmaszorzók!$B$2:$D$25,3,0)))</f>
        <v>2.2000000000000002</v>
      </c>
      <c r="K342" s="173">
        <f>'Támogatás szorzat tényezői'!$C$2*'Támogatás szorzat tényezői'!$C$5*J342*(H342/1000)</f>
        <v>158400.00000000003</v>
      </c>
      <c r="L342" s="203" t="s">
        <v>2398</v>
      </c>
      <c r="M342" s="6">
        <f t="shared" si="26"/>
        <v>8</v>
      </c>
    </row>
    <row r="343" spans="1:13" ht="15.75" x14ac:dyDescent="0.25">
      <c r="A343" s="207">
        <v>292</v>
      </c>
      <c r="B343" s="6" t="s">
        <v>2736</v>
      </c>
      <c r="C343" s="204" t="s">
        <v>2799</v>
      </c>
      <c r="D343" s="204" t="str">
        <f t="shared" si="23"/>
        <v>0411</v>
      </c>
      <c r="E343" s="204" t="str">
        <f t="shared" si="24"/>
        <v>5</v>
      </c>
      <c r="F343" s="205" t="str">
        <f t="shared" si="25"/>
        <v>002</v>
      </c>
      <c r="G343" s="6" t="s">
        <v>1389</v>
      </c>
      <c r="H343" s="6">
        <v>510</v>
      </c>
      <c r="I343" s="6">
        <v>1020</v>
      </c>
      <c r="J343" s="6">
        <f>IF(OR(G343="ágazaton kívüli",G343="n.a."),2.2,IF(OR(E343=2,E343=3,E343=4),VLOOKUP(G343,Szakmaszorzók!$B$2:$D$25,2,0),VLOOKUP(G343,Szakmaszorzók!$B$2:$D$25,3,0)))</f>
        <v>2.2000000000000002</v>
      </c>
      <c r="K343" s="173">
        <f>'Támogatás szorzat tényezői'!$C$2*'Támogatás szorzat tényezői'!$C$5*J343*(H343/1000)</f>
        <v>403920.00000000006</v>
      </c>
      <c r="L343" s="203" t="s">
        <v>2327</v>
      </c>
      <c r="M343" s="6">
        <f t="shared" si="26"/>
        <v>8</v>
      </c>
    </row>
    <row r="344" spans="1:13" ht="15.75" x14ac:dyDescent="0.25">
      <c r="A344" s="207">
        <v>293</v>
      </c>
      <c r="B344" s="6" t="s">
        <v>2737</v>
      </c>
      <c r="C344" s="204" t="s">
        <v>1631</v>
      </c>
      <c r="D344" s="204" t="str">
        <f t="shared" si="23"/>
        <v>0411</v>
      </c>
      <c r="E344" s="204" t="str">
        <f t="shared" si="24"/>
        <v>5</v>
      </c>
      <c r="F344" s="205" t="str">
        <f t="shared" si="25"/>
        <v>001</v>
      </c>
      <c r="G344" s="6" t="s">
        <v>1389</v>
      </c>
      <c r="H344" s="6">
        <v>420</v>
      </c>
      <c r="I344" s="6">
        <v>600</v>
      </c>
      <c r="J344" s="6">
        <f>IF(OR(G344="ágazaton kívüli",G344="n.a."),2.2,IF(OR(E344=2,E344=3,E344=4),VLOOKUP(G344,Szakmaszorzók!$B$2:$D$25,2,0),VLOOKUP(G344,Szakmaszorzók!$B$2:$D$25,3,0)))</f>
        <v>2.2000000000000002</v>
      </c>
      <c r="K344" s="173">
        <f>'Támogatás szorzat tényezői'!$C$2*'Támogatás szorzat tényezői'!$C$5*J344*(H344/1000)</f>
        <v>332640.00000000006</v>
      </c>
      <c r="L344" s="203" t="s">
        <v>2328</v>
      </c>
      <c r="M344" s="6">
        <f t="shared" si="26"/>
        <v>8</v>
      </c>
    </row>
    <row r="345" spans="1:13" ht="15.75" x14ac:dyDescent="0.25">
      <c r="A345" s="207">
        <v>43</v>
      </c>
      <c r="B345" s="6" t="s">
        <v>2616</v>
      </c>
      <c r="C345" s="204" t="s">
        <v>1671</v>
      </c>
      <c r="D345" s="204" t="str">
        <f t="shared" si="23"/>
        <v>0715</v>
      </c>
      <c r="E345" s="204" t="str">
        <f t="shared" si="24"/>
        <v>3</v>
      </c>
      <c r="F345" s="205" t="str">
        <f t="shared" si="25"/>
        <v>006</v>
      </c>
      <c r="G345" s="6" t="s">
        <v>1293</v>
      </c>
      <c r="H345" s="6">
        <v>300</v>
      </c>
      <c r="I345" s="6">
        <v>500</v>
      </c>
      <c r="J345" s="6">
        <f>IF(OR(G345="ágazaton kívüli",G345="n.a."),2.2,IF(OR(E345=2,E345=3,E345=4),VLOOKUP(G345,Szakmaszorzók!$B$2:$D$25,2,0),VLOOKUP(G345,Szakmaszorzók!$B$2:$D$25,3,0)))</f>
        <v>2.42</v>
      </c>
      <c r="K345" s="173">
        <f>'Támogatás szorzat tényezői'!$C$2*'Támogatás szorzat tényezői'!$C$5*J345*(H345/1000)</f>
        <v>261360</v>
      </c>
      <c r="L345" s="203" t="s">
        <v>2078</v>
      </c>
      <c r="M345" s="6">
        <f t="shared" si="26"/>
        <v>8</v>
      </c>
    </row>
    <row r="346" spans="1:13" ht="15.75" x14ac:dyDescent="0.25">
      <c r="A346" s="207">
        <v>45</v>
      </c>
      <c r="B346" s="6" t="s">
        <v>2618</v>
      </c>
      <c r="C346" s="204" t="s">
        <v>1598</v>
      </c>
      <c r="D346" s="204" t="str">
        <f t="shared" si="23"/>
        <v>0716</v>
      </c>
      <c r="E346" s="204" t="str">
        <f t="shared" si="24"/>
        <v>5</v>
      </c>
      <c r="F346" s="205" t="str">
        <f t="shared" si="25"/>
        <v>002</v>
      </c>
      <c r="G346" s="6" t="s">
        <v>1301</v>
      </c>
      <c r="H346" s="6">
        <v>320</v>
      </c>
      <c r="I346" s="6">
        <v>480</v>
      </c>
      <c r="J346" s="6">
        <f>IF(OR(G346="ágazaton kívüli",G346="n.a."),2.2,IF(OR(E346=2,E346=3,E346=4),VLOOKUP(G346,Szakmaszorzók!$B$2:$D$25,2,0),VLOOKUP(G346,Szakmaszorzók!$B$2:$D$25,3,0)))</f>
        <v>2.85</v>
      </c>
      <c r="K346" s="173">
        <f>'Támogatás szorzat tényezői'!$C$2*'Támogatás szorzat tényezői'!$C$5*J346*(H346/1000)</f>
        <v>328320</v>
      </c>
      <c r="L346" s="203" t="s">
        <v>2080</v>
      </c>
      <c r="M346" s="6">
        <f t="shared" si="26"/>
        <v>8</v>
      </c>
    </row>
    <row r="347" spans="1:13" ht="15.75" x14ac:dyDescent="0.25">
      <c r="A347" s="207">
        <v>314</v>
      </c>
      <c r="B347" s="6" t="s">
        <v>2519</v>
      </c>
      <c r="C347" s="204" t="s">
        <v>1599</v>
      </c>
      <c r="D347" s="204" t="str">
        <f t="shared" si="23"/>
        <v>0416</v>
      </c>
      <c r="E347" s="204" t="str">
        <f t="shared" si="24"/>
        <v>3</v>
      </c>
      <c r="F347" s="205" t="str">
        <f t="shared" si="25"/>
        <v>012</v>
      </c>
      <c r="G347" s="6" t="s">
        <v>1351</v>
      </c>
      <c r="H347" s="6">
        <v>80</v>
      </c>
      <c r="I347" s="6">
        <v>120</v>
      </c>
      <c r="J347" s="6">
        <f>IF(OR(G347="ágazaton kívüli",G347="n.a."),2.2,IF(OR(E347=2,E347=3,E347=4),VLOOKUP(G347,Szakmaszorzók!$B$2:$D$25,2,0),VLOOKUP(G347,Szakmaszorzók!$B$2:$D$25,3,0)))</f>
        <v>2.2000000000000002</v>
      </c>
      <c r="K347" s="173">
        <f>'Támogatás szorzat tényezői'!$C$2*'Támogatás szorzat tényezői'!$C$5*J347*(H347/1000)</f>
        <v>63360.000000000007</v>
      </c>
      <c r="L347" s="203" t="s">
        <v>2349</v>
      </c>
      <c r="M347" s="6">
        <f t="shared" si="26"/>
        <v>8</v>
      </c>
    </row>
    <row r="348" spans="1:13" ht="15.75" x14ac:dyDescent="0.25">
      <c r="A348" s="207">
        <v>49</v>
      </c>
      <c r="B348" s="6" t="s">
        <v>2622</v>
      </c>
      <c r="C348" s="204" t="s">
        <v>1600</v>
      </c>
      <c r="D348" s="204" t="str">
        <f t="shared" si="23"/>
        <v>0711</v>
      </c>
      <c r="E348" s="204" t="str">
        <f t="shared" si="24"/>
        <v>5</v>
      </c>
      <c r="F348" s="205" t="str">
        <f t="shared" si="25"/>
        <v>001</v>
      </c>
      <c r="G348" s="6" t="s">
        <v>1280</v>
      </c>
      <c r="H348" s="6">
        <v>480</v>
      </c>
      <c r="I348" s="6">
        <v>720</v>
      </c>
      <c r="J348" s="6">
        <f>IF(OR(G348="ágazaton kívüli",G348="n.a."),2.2,IF(OR(E348=2,E348=3,E348=4),VLOOKUP(G348,Szakmaszorzók!$B$2:$D$25,2,0),VLOOKUP(G348,Szakmaszorzók!$B$2:$D$25,3,0)))</f>
        <v>2.85</v>
      </c>
      <c r="K348" s="173">
        <f>'Támogatás szorzat tényezői'!$C$2*'Támogatás szorzat tényezői'!$C$5*J348*(H348/1000)</f>
        <v>492480</v>
      </c>
      <c r="L348" s="203" t="s">
        <v>2084</v>
      </c>
      <c r="M348" s="6">
        <f t="shared" si="26"/>
        <v>8</v>
      </c>
    </row>
    <row r="349" spans="1:13" ht="15.75" x14ac:dyDescent="0.25">
      <c r="A349" s="207">
        <v>172</v>
      </c>
      <c r="B349" s="6" t="s">
        <v>2704</v>
      </c>
      <c r="C349" s="204" t="s">
        <v>1622</v>
      </c>
      <c r="D349" s="208" t="str">
        <f t="shared" si="23"/>
        <v>0214</v>
      </c>
      <c r="E349" s="208" t="str">
        <f t="shared" si="24"/>
        <v>5</v>
      </c>
      <c r="F349" s="209" t="str">
        <f t="shared" si="25"/>
        <v>020</v>
      </c>
      <c r="G349" s="210" t="s">
        <v>1883</v>
      </c>
      <c r="H349" s="6">
        <v>480</v>
      </c>
      <c r="I349" s="6">
        <v>720</v>
      </c>
      <c r="J349" s="6">
        <f>IF(OR(G349="ágazaton kívüli",G349="n.a."),2.2,IF(OR(E349=2,E349=3,E349=4),VLOOKUP(G349,Szakmaszorzók!$B$2:$D$25,2,0),VLOOKUP(G349,Szakmaszorzók!$B$2:$D$25,3,0)))</f>
        <v>2.2000000000000002</v>
      </c>
      <c r="K349" s="173">
        <f>'Támogatás szorzat tényezői'!$C$2*'Támogatás szorzat tényezői'!$C$5*J349*(H349/1000)</f>
        <v>380160.00000000006</v>
      </c>
      <c r="L349" s="203" t="s">
        <v>2207</v>
      </c>
      <c r="M349" s="6">
        <f t="shared" si="26"/>
        <v>8</v>
      </c>
    </row>
    <row r="350" spans="1:13" ht="15.75" x14ac:dyDescent="0.25">
      <c r="A350" s="207">
        <v>29</v>
      </c>
      <c r="B350" s="6" t="s">
        <v>2602</v>
      </c>
      <c r="C350" s="204" t="s">
        <v>1601</v>
      </c>
      <c r="D350" s="204" t="str">
        <f t="shared" si="23"/>
        <v>0713</v>
      </c>
      <c r="E350" s="204" t="str">
        <f t="shared" si="24"/>
        <v>4</v>
      </c>
      <c r="F350" s="205" t="str">
        <f t="shared" si="25"/>
        <v>012</v>
      </c>
      <c r="G350" s="6" t="s">
        <v>1290</v>
      </c>
      <c r="H350" s="6">
        <v>200</v>
      </c>
      <c r="I350" s="6">
        <v>300</v>
      </c>
      <c r="J350" s="6">
        <f>IF(OR(G350="ágazaton kívüli",G350="n.a."),2.2,IF(OR(E350=2,E350=3,E350=4),VLOOKUP(G350,Szakmaszorzók!$B$2:$D$25,2,0),VLOOKUP(G350,Szakmaszorzók!$B$2:$D$25,3,0)))</f>
        <v>2.85</v>
      </c>
      <c r="K350" s="173">
        <f>'Támogatás szorzat tényezői'!$C$2*'Támogatás szorzat tényezői'!$C$5*J350*(H350/1000)</f>
        <v>205200</v>
      </c>
      <c r="L350" s="203" t="s">
        <v>2064</v>
      </c>
      <c r="M350" s="6">
        <f t="shared" si="26"/>
        <v>8</v>
      </c>
    </row>
    <row r="351" spans="1:13" ht="15.75" x14ac:dyDescent="0.25">
      <c r="A351" s="207">
        <v>30</v>
      </c>
      <c r="B351" s="6" t="s">
        <v>2603</v>
      </c>
      <c r="C351" s="204" t="s">
        <v>2778</v>
      </c>
      <c r="D351" s="204" t="str">
        <f t="shared" si="23"/>
        <v>0713</v>
      </c>
      <c r="E351" s="204" t="str">
        <f t="shared" si="24"/>
        <v>4</v>
      </c>
      <c r="F351" s="205" t="str">
        <f t="shared" si="25"/>
        <v>030</v>
      </c>
      <c r="G351" s="6" t="s">
        <v>1290</v>
      </c>
      <c r="H351" s="6">
        <v>180</v>
      </c>
      <c r="I351" s="6">
        <v>250</v>
      </c>
      <c r="J351" s="6">
        <f>IF(OR(G351="ágazaton kívüli",G351="n.a."),2.2,IF(OR(E351=2,E351=3,E351=4),VLOOKUP(G351,Szakmaszorzók!$B$2:$D$25,2,0),VLOOKUP(G351,Szakmaszorzók!$B$2:$D$25,3,0)))</f>
        <v>2.85</v>
      </c>
      <c r="K351" s="173">
        <f>'Támogatás szorzat tényezői'!$C$2*'Támogatás szorzat tényezői'!$C$5*J351*(H351/1000)</f>
        <v>184680</v>
      </c>
      <c r="L351" s="203" t="s">
        <v>2065</v>
      </c>
      <c r="M351" s="6">
        <f t="shared" si="26"/>
        <v>8</v>
      </c>
    </row>
    <row r="352" spans="1:13" ht="15.75" x14ac:dyDescent="0.25">
      <c r="A352" s="207">
        <v>31</v>
      </c>
      <c r="B352" s="6" t="s">
        <v>2604</v>
      </c>
      <c r="C352" s="204" t="s">
        <v>1602</v>
      </c>
      <c r="D352" s="204" t="str">
        <f t="shared" si="23"/>
        <v>0713</v>
      </c>
      <c r="E352" s="204" t="str">
        <f t="shared" si="24"/>
        <v>4</v>
      </c>
      <c r="F352" s="205" t="str">
        <f t="shared" si="25"/>
        <v>002</v>
      </c>
      <c r="G352" s="6" t="s">
        <v>1290</v>
      </c>
      <c r="H352" s="6">
        <v>400</v>
      </c>
      <c r="I352" s="6">
        <v>600</v>
      </c>
      <c r="J352" s="6">
        <f>IF(OR(G352="ágazaton kívüli",G352="n.a."),2.2,IF(OR(E352=2,E352=3,E352=4),VLOOKUP(G352,Szakmaszorzók!$B$2:$D$25,2,0),VLOOKUP(G352,Szakmaszorzók!$B$2:$D$25,3,0)))</f>
        <v>2.85</v>
      </c>
      <c r="K352" s="173">
        <f>'Támogatás szorzat tényezői'!$C$2*'Támogatás szorzat tényezői'!$C$5*J352*(H352/1000)</f>
        <v>410400</v>
      </c>
      <c r="L352" s="203" t="s">
        <v>2066</v>
      </c>
      <c r="M352" s="6">
        <f t="shared" si="26"/>
        <v>8</v>
      </c>
    </row>
    <row r="353" spans="1:13" ht="15.75" x14ac:dyDescent="0.25">
      <c r="A353" s="207">
        <v>32</v>
      </c>
      <c r="B353" s="6" t="s">
        <v>2605</v>
      </c>
      <c r="C353" s="204" t="s">
        <v>1603</v>
      </c>
      <c r="D353" s="204" t="str">
        <f t="shared" si="23"/>
        <v>0713</v>
      </c>
      <c r="E353" s="204" t="str">
        <f t="shared" si="24"/>
        <v>4</v>
      </c>
      <c r="F353" s="205" t="str">
        <f t="shared" si="25"/>
        <v>011</v>
      </c>
      <c r="G353" s="6" t="s">
        <v>1290</v>
      </c>
      <c r="H353" s="6">
        <v>200</v>
      </c>
      <c r="I353" s="6">
        <v>300</v>
      </c>
      <c r="J353" s="6">
        <f>IF(OR(G353="ágazaton kívüli",G353="n.a."),2.2,IF(OR(E353=2,E353=3,E353=4),VLOOKUP(G353,Szakmaszorzók!$B$2:$D$25,2,0),VLOOKUP(G353,Szakmaszorzók!$B$2:$D$25,3,0)))</f>
        <v>2.85</v>
      </c>
      <c r="K353" s="173">
        <f>'Támogatás szorzat tényezői'!$C$2*'Támogatás szorzat tényezői'!$C$5*J353*(H353/1000)</f>
        <v>205200</v>
      </c>
      <c r="L353" s="203" t="s">
        <v>2067</v>
      </c>
      <c r="M353" s="6">
        <f t="shared" si="26"/>
        <v>8</v>
      </c>
    </row>
    <row r="354" spans="1:13" ht="15.75" x14ac:dyDescent="0.25">
      <c r="A354" s="207">
        <v>33</v>
      </c>
      <c r="B354" s="6" t="s">
        <v>2606</v>
      </c>
      <c r="C354" s="204" t="s">
        <v>1604</v>
      </c>
      <c r="D354" s="204" t="str">
        <f t="shared" si="23"/>
        <v>0713</v>
      </c>
      <c r="E354" s="204" t="str">
        <f t="shared" si="24"/>
        <v>4</v>
      </c>
      <c r="F354" s="205" t="str">
        <f t="shared" si="25"/>
        <v>005</v>
      </c>
      <c r="G354" s="6" t="s">
        <v>1290</v>
      </c>
      <c r="H354" s="6">
        <v>240</v>
      </c>
      <c r="I354" s="6">
        <v>360</v>
      </c>
      <c r="J354" s="6">
        <f>IF(OR(G354="ágazaton kívüli",G354="n.a."),2.2,IF(OR(E354=2,E354=3,E354=4),VLOOKUP(G354,Szakmaszorzók!$B$2:$D$25,2,0),VLOOKUP(G354,Szakmaszorzók!$B$2:$D$25,3,0)))</f>
        <v>2.85</v>
      </c>
      <c r="K354" s="173">
        <f>'Támogatás szorzat tényezői'!$C$2*'Támogatás szorzat tényezői'!$C$5*J354*(H354/1000)</f>
        <v>246240</v>
      </c>
      <c r="L354" s="203" t="s">
        <v>2068</v>
      </c>
      <c r="M354" s="6">
        <f t="shared" si="26"/>
        <v>8</v>
      </c>
    </row>
    <row r="355" spans="1:13" ht="15.75" x14ac:dyDescent="0.25">
      <c r="A355" s="207">
        <v>34</v>
      </c>
      <c r="B355" s="6" t="s">
        <v>2607</v>
      </c>
      <c r="C355" s="204" t="s">
        <v>1605</v>
      </c>
      <c r="D355" s="204" t="str">
        <f t="shared" si="23"/>
        <v>0713</v>
      </c>
      <c r="E355" s="204" t="str">
        <f t="shared" si="24"/>
        <v>4</v>
      </c>
      <c r="F355" s="205" t="str">
        <f t="shared" si="25"/>
        <v>008</v>
      </c>
      <c r="G355" s="6" t="s">
        <v>1290</v>
      </c>
      <c r="H355" s="6">
        <v>100</v>
      </c>
      <c r="I355" s="6">
        <v>150</v>
      </c>
      <c r="J355" s="6">
        <f>IF(OR(G355="ágazaton kívüli",G355="n.a."),2.2,IF(OR(E355=2,E355=3,E355=4),VLOOKUP(G355,Szakmaszorzók!$B$2:$D$25,2,0),VLOOKUP(G355,Szakmaszorzók!$B$2:$D$25,3,0)))</f>
        <v>2.85</v>
      </c>
      <c r="K355" s="173">
        <f>'Támogatás szorzat tényezői'!$C$2*'Támogatás szorzat tényezői'!$C$5*J355*(H355/1000)</f>
        <v>102600</v>
      </c>
      <c r="L355" s="203" t="s">
        <v>2069</v>
      </c>
      <c r="M355" s="6">
        <f t="shared" si="26"/>
        <v>8</v>
      </c>
    </row>
    <row r="356" spans="1:13" ht="15.75" x14ac:dyDescent="0.25">
      <c r="A356" s="207">
        <v>173</v>
      </c>
      <c r="B356" s="6" t="s">
        <v>2705</v>
      </c>
      <c r="C356" s="204" t="s">
        <v>1621</v>
      </c>
      <c r="D356" s="208" t="str">
        <f t="shared" si="23"/>
        <v>0214</v>
      </c>
      <c r="E356" s="208" t="str">
        <f t="shared" si="24"/>
        <v>4</v>
      </c>
      <c r="F356" s="209" t="str">
        <f t="shared" si="25"/>
        <v>019</v>
      </c>
      <c r="G356" s="6" t="s">
        <v>1316</v>
      </c>
      <c r="H356" s="6">
        <v>240</v>
      </c>
      <c r="I356" s="6">
        <v>360</v>
      </c>
      <c r="J356" s="6">
        <f>IF(OR(G356="ágazaton kívüli",G356="n.a."),2.2,IF(OR(E356=2,E356=3,E356=4),VLOOKUP(G356,Szakmaszorzók!$B$2:$D$25,2,0),VLOOKUP(G356,Szakmaszorzók!$B$2:$D$25,3,0)))</f>
        <v>2.85</v>
      </c>
      <c r="K356" s="173">
        <f>'Támogatás szorzat tényezői'!$C$2*'Támogatás szorzat tényezői'!$C$5*J356*(H356/1000)</f>
        <v>246240</v>
      </c>
      <c r="L356" s="203" t="s">
        <v>2208</v>
      </c>
      <c r="M356" s="6">
        <f t="shared" si="26"/>
        <v>8</v>
      </c>
    </row>
    <row r="357" spans="1:13" ht="15.75" x14ac:dyDescent="0.25">
      <c r="A357" s="207">
        <v>174</v>
      </c>
      <c r="B357" s="6" t="s">
        <v>2706</v>
      </c>
      <c r="C357" s="204" t="s">
        <v>2793</v>
      </c>
      <c r="D357" s="208" t="str">
        <f t="shared" si="23"/>
        <v>0214</v>
      </c>
      <c r="E357" s="208" t="str">
        <f t="shared" si="24"/>
        <v>3</v>
      </c>
      <c r="F357" s="209" t="str">
        <f t="shared" si="25"/>
        <v>016</v>
      </c>
      <c r="G357" s="6" t="s">
        <v>1351</v>
      </c>
      <c r="H357" s="6">
        <v>800</v>
      </c>
      <c r="I357" s="6">
        <v>1200</v>
      </c>
      <c r="J357" s="6">
        <f>IF(OR(G357="ágazaton kívüli",G357="n.a."),2.2,IF(OR(E357=2,E357=3,E357=4),VLOOKUP(G357,Szakmaszorzók!$B$2:$D$25,2,0),VLOOKUP(G357,Szakmaszorzók!$B$2:$D$25,3,0)))</f>
        <v>2.2000000000000002</v>
      </c>
      <c r="K357" s="173">
        <f>'Támogatás szorzat tényezői'!$C$2*'Támogatás szorzat tényezői'!$C$5*J357*(H357/1000)</f>
        <v>633600.00000000012</v>
      </c>
      <c r="L357" s="203" t="s">
        <v>2209</v>
      </c>
      <c r="M357" s="6">
        <f t="shared" si="26"/>
        <v>8</v>
      </c>
    </row>
    <row r="358" spans="1:13" ht="15.75" x14ac:dyDescent="0.25">
      <c r="A358" s="207">
        <v>119</v>
      </c>
      <c r="B358" s="6" t="s">
        <v>2677</v>
      </c>
      <c r="C358" s="204">
        <v>10213001</v>
      </c>
      <c r="D358" s="204" t="str">
        <f t="shared" si="23"/>
        <v>1021</v>
      </c>
      <c r="E358" s="204" t="str">
        <f t="shared" si="24"/>
        <v>3</v>
      </c>
      <c r="F358" s="205" t="str">
        <f t="shared" si="25"/>
        <v>001</v>
      </c>
      <c r="G358" s="6" t="s">
        <v>1347</v>
      </c>
      <c r="H358" s="6">
        <v>200</v>
      </c>
      <c r="I358" s="6">
        <v>300</v>
      </c>
      <c r="J358" s="6">
        <f>IF(OR(G358="ágazaton kívüli",G358="n.a."),2.2,IF(OR(E358=2,E358=3,E358=4),VLOOKUP(G358,Szakmaszorzók!$B$2:$D$25,2,0),VLOOKUP(G358,Szakmaszorzók!$B$2:$D$25,3,0)))</f>
        <v>2.85</v>
      </c>
      <c r="K358" s="173">
        <f>'Támogatás szorzat tényezői'!$C$2*'Támogatás szorzat tényezői'!$C$5*J358*(H358/1000)</f>
        <v>205200</v>
      </c>
      <c r="L358" s="203" t="s">
        <v>2154</v>
      </c>
      <c r="M358" s="6">
        <f t="shared" si="26"/>
        <v>8</v>
      </c>
    </row>
    <row r="359" spans="1:13" ht="15.75" x14ac:dyDescent="0.25">
      <c r="A359" s="207">
        <v>68</v>
      </c>
      <c r="B359" s="6" t="s">
        <v>2641</v>
      </c>
      <c r="C359" s="204" t="s">
        <v>1684</v>
      </c>
      <c r="D359" s="204" t="str">
        <f t="shared" si="23"/>
        <v>0732</v>
      </c>
      <c r="E359" s="204" t="str">
        <f t="shared" si="24"/>
        <v>4</v>
      </c>
      <c r="F359" s="205" t="str">
        <f t="shared" si="25"/>
        <v>007</v>
      </c>
      <c r="G359" s="6" t="s">
        <v>1315</v>
      </c>
      <c r="H359" s="6">
        <v>400</v>
      </c>
      <c r="I359" s="6">
        <v>500</v>
      </c>
      <c r="J359" s="6">
        <f>IF(OR(G359="ágazaton kívüli",G359="n.a."),2.2,IF(OR(E359=2,E359=3,E359=4),VLOOKUP(G359,Szakmaszorzók!$B$2:$D$25,2,0),VLOOKUP(G359,Szakmaszorzók!$B$2:$D$25,3,0)))</f>
        <v>2.42</v>
      </c>
      <c r="K359" s="173">
        <f>'Támogatás szorzat tényezői'!$C$2*'Támogatás szorzat tényezői'!$C$5*J359*(H359/1000)</f>
        <v>348480</v>
      </c>
      <c r="L359" s="203" t="s">
        <v>2103</v>
      </c>
      <c r="M359" s="6">
        <f t="shared" si="26"/>
        <v>8</v>
      </c>
    </row>
    <row r="360" spans="1:13" ht="15.75" x14ac:dyDescent="0.25">
      <c r="A360" s="207">
        <v>69</v>
      </c>
      <c r="B360" s="6" t="s">
        <v>2642</v>
      </c>
      <c r="C360" s="204" t="s">
        <v>1607</v>
      </c>
      <c r="D360" s="204" t="str">
        <f t="shared" si="23"/>
        <v>0732</v>
      </c>
      <c r="E360" s="204" t="str">
        <f t="shared" si="24"/>
        <v>4</v>
      </c>
      <c r="F360" s="205" t="str">
        <f t="shared" si="25"/>
        <v>002</v>
      </c>
      <c r="G360" s="6" t="s">
        <v>1347</v>
      </c>
      <c r="H360" s="6">
        <v>600</v>
      </c>
      <c r="I360" s="6">
        <v>800</v>
      </c>
      <c r="J360" s="6">
        <f>IF(OR(G360="ágazaton kívüli",G360="n.a."),2.2,IF(OR(E360=2,E360=3,E360=4),VLOOKUP(G360,Szakmaszorzók!$B$2:$D$25,2,0),VLOOKUP(G360,Szakmaszorzók!$B$2:$D$25,3,0)))</f>
        <v>2.85</v>
      </c>
      <c r="K360" s="173">
        <f>'Támogatás szorzat tényezői'!$C$2*'Támogatás szorzat tényezői'!$C$5*J360*(H360/1000)</f>
        <v>615600</v>
      </c>
      <c r="L360" s="203" t="s">
        <v>2104</v>
      </c>
      <c r="M360" s="6">
        <f t="shared" si="26"/>
        <v>8</v>
      </c>
    </row>
    <row r="361" spans="1:13" ht="15.75" x14ac:dyDescent="0.25">
      <c r="A361" s="207">
        <v>133</v>
      </c>
      <c r="B361" s="6" t="s">
        <v>2690</v>
      </c>
      <c r="C361" s="204" t="s">
        <v>1608</v>
      </c>
      <c r="D361" s="208" t="str">
        <f t="shared" si="23"/>
        <v>0799</v>
      </c>
      <c r="E361" s="208" t="str">
        <f t="shared" si="24"/>
        <v>3</v>
      </c>
      <c r="F361" s="209" t="str">
        <f t="shared" si="25"/>
        <v>003</v>
      </c>
      <c r="G361" s="6" t="s">
        <v>1347</v>
      </c>
      <c r="H361" s="6">
        <v>200</v>
      </c>
      <c r="I361" s="6">
        <v>300</v>
      </c>
      <c r="J361" s="6">
        <f>IF(OR(G361="ágazaton kívüli",G361="n.a."),2.2,IF(OR(E361=2,E361=3,E361=4),VLOOKUP(G361,Szakmaszorzók!$B$2:$D$25,2,0),VLOOKUP(G361,Szakmaszorzók!$B$2:$D$25,3,0)))</f>
        <v>2.85</v>
      </c>
      <c r="K361" s="173">
        <f>'Támogatás szorzat tényezői'!$C$2*'Támogatás szorzat tényezői'!$C$5*J361*(H361/1000)</f>
        <v>205200</v>
      </c>
      <c r="L361" s="203" t="s">
        <v>2168</v>
      </c>
      <c r="M361" s="6">
        <f t="shared" si="26"/>
        <v>8</v>
      </c>
    </row>
    <row r="362" spans="1:13" ht="15.75" x14ac:dyDescent="0.25">
      <c r="A362" s="207">
        <v>90</v>
      </c>
      <c r="B362" s="6" t="s">
        <v>2661</v>
      </c>
      <c r="C362" s="204" t="s">
        <v>1679</v>
      </c>
      <c r="D362" s="204" t="str">
        <f t="shared" si="23"/>
        <v>0722</v>
      </c>
      <c r="E362" s="204" t="str">
        <f t="shared" si="24"/>
        <v>3</v>
      </c>
      <c r="F362" s="205" t="str">
        <f t="shared" si="25"/>
        <v>013</v>
      </c>
      <c r="G362" s="6" t="s">
        <v>1280</v>
      </c>
      <c r="H362" s="6">
        <v>150</v>
      </c>
      <c r="I362" s="6">
        <v>250</v>
      </c>
      <c r="J362" s="6">
        <f>IF(OR(G362="ágazaton kívüli",G362="n.a."),2.2,IF(OR(E362=2,E362=3,E362=4),VLOOKUP(G362,Szakmaszorzók!$B$2:$D$25,2,0),VLOOKUP(G362,Szakmaszorzók!$B$2:$D$25,3,0)))</f>
        <v>2.85</v>
      </c>
      <c r="K362" s="173">
        <f>'Támogatás szorzat tényezői'!$C$2*'Támogatás szorzat tényezői'!$C$5*J362*(H362/1000)</f>
        <v>153900</v>
      </c>
      <c r="L362" s="203" t="s">
        <v>2125</v>
      </c>
      <c r="M362" s="6">
        <f t="shared" si="26"/>
        <v>8</v>
      </c>
    </row>
    <row r="363" spans="1:13" ht="15.75" x14ac:dyDescent="0.25">
      <c r="A363" s="207">
        <v>115</v>
      </c>
      <c r="B363" s="6" t="s">
        <v>2425</v>
      </c>
      <c r="C363" s="204" t="s">
        <v>1639</v>
      </c>
      <c r="D363" s="204" t="str">
        <f t="shared" si="23"/>
        <v>0613</v>
      </c>
      <c r="E363" s="204" t="str">
        <f t="shared" si="24"/>
        <v>5</v>
      </c>
      <c r="F363" s="205" t="str">
        <f t="shared" si="25"/>
        <v>001</v>
      </c>
      <c r="G363" s="6" t="s">
        <v>1353</v>
      </c>
      <c r="H363" s="6">
        <v>400</v>
      </c>
      <c r="I363" s="6">
        <v>550</v>
      </c>
      <c r="J363" s="6">
        <f>IF(OR(G363="ágazaton kívüli",G363="n.a."),2.2,IF(OR(E363=2,E363=3,E363=4),VLOOKUP(G363,Szakmaszorzók!$B$2:$D$25,2,0),VLOOKUP(G363,Szakmaszorzók!$B$2:$D$25,3,0)))</f>
        <v>2.2000000000000002</v>
      </c>
      <c r="K363" s="173">
        <f>'Támogatás szorzat tényezői'!$C$2*'Támogatás szorzat tényezői'!$C$5*J363*(H363/1000)</f>
        <v>316800.00000000006</v>
      </c>
      <c r="L363" s="203" t="s">
        <v>2150</v>
      </c>
      <c r="M363" s="6">
        <f t="shared" si="26"/>
        <v>8</v>
      </c>
    </row>
    <row r="364" spans="1:13" ht="15.75" x14ac:dyDescent="0.25">
      <c r="A364" s="207">
        <v>128</v>
      </c>
      <c r="B364" s="6" t="s">
        <v>2685</v>
      </c>
      <c r="C364" s="204" t="s">
        <v>1694</v>
      </c>
      <c r="D364" s="208" t="str">
        <f t="shared" si="23"/>
        <v>0811</v>
      </c>
      <c r="E364" s="208" t="str">
        <f t="shared" si="24"/>
        <v>4</v>
      </c>
      <c r="F364" s="209" t="str">
        <f t="shared" si="25"/>
        <v>003</v>
      </c>
      <c r="G364" s="6" t="s">
        <v>1316</v>
      </c>
      <c r="H364" s="6">
        <v>320</v>
      </c>
      <c r="I364" s="6">
        <v>480</v>
      </c>
      <c r="J364" s="6">
        <f>IF(OR(G364="ágazaton kívüli",G364="n.a."),2.2,IF(OR(E364=2,E364=3,E364=4),VLOOKUP(G364,Szakmaszorzók!$B$2:$D$25,2,0),VLOOKUP(G364,Szakmaszorzók!$B$2:$D$25,3,0)))</f>
        <v>2.85</v>
      </c>
      <c r="K364" s="173">
        <f>'Támogatás szorzat tényezői'!$C$2*'Támogatás szorzat tényezői'!$C$5*J364*(H364/1000)</f>
        <v>328320</v>
      </c>
      <c r="L364" s="203" t="s">
        <v>2163</v>
      </c>
      <c r="M364" s="6">
        <f t="shared" si="26"/>
        <v>8</v>
      </c>
    </row>
  </sheetData>
  <autoFilter ref="A1:M364">
    <sortState ref="A2:M364">
      <sortCondition ref="B1:B364"/>
    </sortState>
  </autoFilter>
  <conditionalFormatting sqref="M2:M364">
    <cfRule type="cellIs" dxfId="10" priority="1" operator="notEqual">
      <formula>8</formula>
    </cfRule>
    <cfRule type="cellIs" dxfId="9" priority="2" operator="equal">
      <formula>8</formula>
    </cfRule>
  </conditionalFormatting>
  <hyperlinks>
    <hyperlink ref="L4" r:id="rId1" display="https://api.ikk.hu/v1/media/2690"/>
    <hyperlink ref="L18" r:id="rId2" display="https://api.ikk.hu/v1/media/2790"/>
    <hyperlink ref="L61" r:id="rId3" display="https://api.ikk.hu/v1/media/2789"/>
    <hyperlink ref="L284" r:id="rId4" display="https://api.ikk.hu/v1/media/2791"/>
    <hyperlink ref="L64" r:id="rId5" display="https://api.ikk.hu/v1/media/2755"/>
    <hyperlink ref="L65" r:id="rId6" display="https://api.ikk.hu/v1/media/2754"/>
    <hyperlink ref="L66" r:id="rId7" display="https://api.ikk.hu/v1/media/2751"/>
    <hyperlink ref="L67" r:id="rId8" display="https://api.ikk.hu/v1/media/2756"/>
    <hyperlink ref="L87" r:id="rId9" display="https://api.ikk.hu/v1/media/2750"/>
    <hyperlink ref="L88" r:id="rId10" display="https://api.ikk.hu/v1/media/2785"/>
    <hyperlink ref="L89" r:id="rId11" display="https://api.ikk.hu/v1/media/2749"/>
    <hyperlink ref="L96" r:id="rId12" display="https://api.ikk.hu/v1/media/2788"/>
    <hyperlink ref="L99" r:id="rId13" display="https://api.ikk.hu/v1/media/2735"/>
    <hyperlink ref="L100" r:id="rId14" display="https://api.ikk.hu/v1/media/2738"/>
    <hyperlink ref="L109" r:id="rId15" display="https://api.ikk.hu/v1/media/2734"/>
    <hyperlink ref="L139" r:id="rId16" display="https://api.ikk.hu/v1/media/2736"/>
    <hyperlink ref="L140" r:id="rId17" display="https://api.ikk.hu/v1/media/2737"/>
    <hyperlink ref="L153" r:id="rId18" display="https://api.ikk.hu/v1/media/2758"/>
    <hyperlink ref="L178" r:id="rId19" display="https://api.ikk.hu/v1/media/2748"/>
    <hyperlink ref="L179" r:id="rId20" display="https://api.ikk.hu/v1/media/2742"/>
    <hyperlink ref="L180" r:id="rId21" display="https://api.ikk.hu/v1/media/2783"/>
    <hyperlink ref="L181" r:id="rId22" display="https://api.ikk.hu/v1/media/2780"/>
    <hyperlink ref="L182" r:id="rId23" display="https://api.ikk.hu/v1/media/2779"/>
    <hyperlink ref="L206" r:id="rId24" display="https://api.ikk.hu/v1/media/2769"/>
    <hyperlink ref="L207" r:id="rId25" display="https://api.ikk.hu/v1/media/2767"/>
    <hyperlink ref="L208" r:id="rId26" display="https://api.ikk.hu/v1/media/2741"/>
    <hyperlink ref="L216" r:id="rId27" display="https://api.ikk.hu/v1/media/2793"/>
    <hyperlink ref="L220" r:id="rId28" display="https://api.ikk.hu/v1/media/2744"/>
    <hyperlink ref="L350" r:id="rId29" display="https://api.ikk.hu/v1/media/2830"/>
    <hyperlink ref="L351" r:id="rId30" display="https://api.ikk.hu/v1/media/2787"/>
    <hyperlink ref="L352" r:id="rId31" display="https://api.ikk.hu/v1/media/2739"/>
    <hyperlink ref="L353" r:id="rId32" display="https://api.ikk.hu/v1/media/2829"/>
    <hyperlink ref="L354" r:id="rId33" display="https://api.ikk.hu/v1/media/2740"/>
    <hyperlink ref="L355" r:id="rId34" display="https://api.ikk.hu/v1/media/2746"/>
    <hyperlink ref="L37" r:id="rId35" display="https://api.ikk.hu/v1/media/2808"/>
    <hyperlink ref="L90" r:id="rId36" display="https://api.ikk.hu/v1/media/2800"/>
    <hyperlink ref="L97" r:id="rId37" display="https://api.ikk.hu/v1/media/2803"/>
    <hyperlink ref="L152" r:id="rId38" display="https://api.ikk.hu/v1/media/2806"/>
    <hyperlink ref="L226" r:id="rId39" display="https://api.ikk.hu/v1/media/2799"/>
    <hyperlink ref="L274" r:id="rId40" display="https://api.ikk.hu/v1/media/2810"/>
    <hyperlink ref="L275" r:id="rId41" display="https://api.ikk.hu/v1/media/2647"/>
    <hyperlink ref="L278" r:id="rId42" display="https://api.ikk.hu/v1/media/2813"/>
    <hyperlink ref="L345" r:id="rId43" display="https://api.ikk.hu/v1/media/2801"/>
    <hyperlink ref="L290" r:id="rId44" display="https://api.ikk.hu/v1/media/2816"/>
    <hyperlink ref="L346" r:id="rId45" display="https://api.ikk.hu/v1/media/2819"/>
    <hyperlink ref="L47" r:id="rId46" display="https://api.ikk.hu/v1/media/2648"/>
    <hyperlink ref="L94" r:id="rId47" display="https://api.ikk.hu/v1/media/2649"/>
    <hyperlink ref="L237" r:id="rId48" display="https://api.ikk.hu/v1/media/2650"/>
    <hyperlink ref="L348" r:id="rId49" display="https://api.ikk.hu/v1/media/2651"/>
    <hyperlink ref="L23" r:id="rId50" display="https://api.ikk.hu/v1/media/2778"/>
    <hyperlink ref="L241" r:id="rId51" display="https://api.ikk.hu/v1/media/2777"/>
    <hyperlink ref="L42" r:id="rId52" display="https://api.ikk.hu/v1/media/2696"/>
    <hyperlink ref="L84" r:id="rId53" display="https://api.ikk.hu/v1/media/2693"/>
    <hyperlink ref="L276" r:id="rId54" display="https://api.ikk.hu/v1/media/2694"/>
    <hyperlink ref="L26" r:id="rId55" display="https://api.ikk.hu/v1/media/2776"/>
    <hyperlink ref="L76" r:id="rId56" display="https://api.ikk.hu/v1/media/2775"/>
    <hyperlink ref="L93" r:id="rId57" display="https://api.ikk.hu/v1/media/2774"/>
    <hyperlink ref="L328" r:id="rId58" display="https://api.ikk.hu/v1/media/2678"/>
    <hyperlink ref="L44" r:id="rId59" display="https://api.ikk.hu/v1/media/2811"/>
    <hyperlink ref="L49" r:id="rId60" display="https://api.ikk.hu/v1/media/2802"/>
    <hyperlink ref="L98" r:id="rId61" display="https://api.ikk.hu/v1/media/2804"/>
    <hyperlink ref="L232" r:id="rId62" display="https://api.ikk.hu/v1/media/2821"/>
    <hyperlink ref="L233" r:id="rId63" display="https://api.ikk.hu/v1/media/2818"/>
    <hyperlink ref="L234" r:id="rId64" display="https://api.ikk.hu/v1/media/2817"/>
    <hyperlink ref="L270" r:id="rId65" display="https://api.ikk.hu/v1/media/2809"/>
    <hyperlink ref="L286" r:id="rId66" display="https://api.ikk.hu/v1/media/2815"/>
    <hyperlink ref="L338" r:id="rId67" display="https://api.ikk.hu/v1/media/2807"/>
    <hyperlink ref="L359" r:id="rId68" display="https://api.ikk.hu/v1/media/2814"/>
    <hyperlink ref="L360" r:id="rId69" display="https://api.ikk.hu/v1/media/2812"/>
    <hyperlink ref="L71" r:id="rId70" display="https://api.ikk.hu/v1/media/2688"/>
    <hyperlink ref="L85" r:id="rId71" display="https://api.ikk.hu/v1/media/2687"/>
    <hyperlink ref="L214" r:id="rId72" display="https://api.ikk.hu/v1/media/2795"/>
    <hyperlink ref="L222" r:id="rId73" display="https://api.ikk.hu/v1/media/2792"/>
    <hyperlink ref="L225" r:id="rId74" display="https://api.ikk.hu/v1/media/2656"/>
    <hyperlink ref="L268" r:id="rId75" display="https://api.ikk.hu/v1/media/2657"/>
    <hyperlink ref="L295" r:id="rId76" display="https://api.ikk.hu/v1/media/2646"/>
    <hyperlink ref="L29" r:id="rId77" display="https://api.ikk.hu/v1/media/2825"/>
    <hyperlink ref="L43" r:id="rId78" display="https://api.ikk.hu/v1/media/2669"/>
    <hyperlink ref="L68" r:id="rId79" display="https://api.ikk.hu/v1/media/2661"/>
    <hyperlink ref="L70" r:id="rId80" display="https://api.ikk.hu/v1/media/2820"/>
    <hyperlink ref="L83" r:id="rId81" display="https://api.ikk.hu/v1/media/2660"/>
    <hyperlink ref="L92" r:id="rId82" display="https://api.ikk.hu/v1/media/2666"/>
    <hyperlink ref="L108" r:id="rId83" display="https://api.ikk.hu/v1/media/2658"/>
    <hyperlink ref="L128" r:id="rId84" display="https://api.ikk.hu/v1/media/2823"/>
    <hyperlink ref="L129" r:id="rId85" display="https://api.ikk.hu/v1/media/2664"/>
    <hyperlink ref="L231" r:id="rId86" display="https://api.ikk.hu/v1/media/2659"/>
    <hyperlink ref="L272" r:id="rId87" display="https://api.ikk.hu/v1/media/2668"/>
    <hyperlink ref="L298" r:id="rId88" display="https://api.ikk.hu/v1/media/2670"/>
    <hyperlink ref="L341" r:id="rId89" display="https://api.ikk.hu/v1/media/2662"/>
    <hyperlink ref="L362" r:id="rId90" display="https://api.ikk.hu/v1/media/2667"/>
    <hyperlink ref="L154" r:id="rId91" display="https://api.ikk.hu/v1/media/2677"/>
    <hyperlink ref="L36" r:id="rId92" display="https://api.ikk.hu/v1/media/2671"/>
    <hyperlink ref="L39" r:id="rId93" display="https://api.ikk.hu/v1/media/2674"/>
    <hyperlink ref="L204" r:id="rId94" display="https://api.ikk.hu/v1/media/2673"/>
    <hyperlink ref="L229" r:id="rId95" display="https://api.ikk.hu/v1/media/2686"/>
    <hyperlink ref="L315" r:id="rId96" display="https://api.ikk.hu/v1/media/2676"/>
    <hyperlink ref="L330" r:id="rId97" display="https://api.ikk.hu/v1/media/2672"/>
    <hyperlink ref="L82" r:id="rId98" display="https://api.ikk.hu/v1/media/2652"/>
    <hyperlink ref="L81" r:id="rId99" display="https://api.ikk.hu/v1/media/2653"/>
    <hyperlink ref="L110" r:id="rId100" display="https://api.ikk.hu/v1/media/2655"/>
    <hyperlink ref="L339" r:id="rId101" display="https://api.ikk.hu/v1/media/2654"/>
    <hyperlink ref="L60" r:id="rId102" display="https://api.ikk.hu/v1/media/2689"/>
    <hyperlink ref="L91" r:id="rId103" display="https://api.ikk.hu/v1/media/1966"/>
    <hyperlink ref="L102" r:id="rId104" display="https://api.ikk.hu/v1/media/1922"/>
    <hyperlink ref="L103" r:id="rId105" display="https://api.ikk.hu/v1/media/1941"/>
    <hyperlink ref="L104" r:id="rId106" display="https://api.ikk.hu/v1/media/1861"/>
    <hyperlink ref="L235" r:id="rId107" display="https://api.ikk.hu/v1/media/1886"/>
    <hyperlink ref="L326" r:id="rId108" display="https://api.ikk.hu/v1/media/1933"/>
    <hyperlink ref="L124" r:id="rId109" display="https://api.ikk.hu/v1/media/1987"/>
    <hyperlink ref="L125" r:id="rId110" display="https://api.ikk.hu/v1/media/1986"/>
    <hyperlink ref="L126" r:id="rId111" display="https://api.ikk.hu/v1/media/1988"/>
    <hyperlink ref="L127" r:id="rId112" display="https://api.ikk.hu/v1/media/1985"/>
    <hyperlink ref="L224" r:id="rId113" display="https://api.ikk.hu/v1/media/1919"/>
    <hyperlink ref="L227" r:id="rId114" display="https://api.ikk.hu/v1/media/1878"/>
    <hyperlink ref="L363" r:id="rId115" display="https://api.ikk.hu/v1/media/1909"/>
    <hyperlink ref="L63" r:id="rId116" display="https://api.ikk.hu/v1/media/2759"/>
    <hyperlink ref="L230" r:id="rId117" display="https://api.ikk.hu/v1/media/2757"/>
    <hyperlink ref="L50" r:id="rId118" display="https://api.ikk.hu/v1/media/2760"/>
    <hyperlink ref="L358" r:id="rId119" display="https://api.ikk.hu/v1/media/2761"/>
    <hyperlink ref="L46" r:id="rId120" display="https://api.ikk.hu/v1/media/2781"/>
    <hyperlink ref="L201" r:id="rId121" display="https://api.ikk.hu/v1/media/2683"/>
    <hyperlink ref="L223" r:id="rId122" display="https://api.ikk.hu/v1/media/2684"/>
    <hyperlink ref="L325" r:id="rId123" display="https://api.ikk.hu/v1/media/2685"/>
    <hyperlink ref="L24" r:id="rId124" display="https://api.ikk.hu/v1/media/2679"/>
    <hyperlink ref="L22" r:id="rId125" display="https://api.ikk.hu/v1/media/2682"/>
    <hyperlink ref="L218" r:id="rId126" display="https://api.ikk.hu/v1/media/2680"/>
    <hyperlink ref="L221" r:id="rId127" display="https://api.ikk.hu/v1/media/2681"/>
    <hyperlink ref="L364" r:id="rId128" display="https://api.ikk.hu/v1/media/2782"/>
    <hyperlink ref="L86" r:id="rId129" display="https://api.ikk.hu/v1/media/2822"/>
    <hyperlink ref="L130" r:id="rId130" display="https://api.ikk.hu/v1/media/2786"/>
    <hyperlink ref="L271" r:id="rId131" display="https://api.ikk.hu/v1/media/2826"/>
    <hyperlink ref="L287" r:id="rId132" display="https://api.ikk.hu/v1/media/2784"/>
    <hyperlink ref="L361" r:id="rId133" display="https://api.ikk.hu/v1/media/2824"/>
    <hyperlink ref="L74" r:id="rId134" display="https://api.ikk.hu/v1/media/2733"/>
    <hyperlink ref="L75" r:id="rId135" display="https://api.ikk.hu/v1/media/2732"/>
    <hyperlink ref="L80" r:id="rId136" display="https://api.ikk.hu/v1/media/2614"/>
    <hyperlink ref="L203" r:id="rId137" display="https://api.ikk.hu/v1/media/2615"/>
    <hyperlink ref="L215" r:id="rId138" display="https://api.ikk.hu/v1/media/2616"/>
    <hyperlink ref="L142" r:id="rId139" display="https://api.ikk.hu/v1/media/1961"/>
    <hyperlink ref="L143" r:id="rId140" display="https://api.ikk.hu/v1/media/1947"/>
    <hyperlink ref="L144" r:id="rId141" display="https://api.ikk.hu/v1/media/1893"/>
    <hyperlink ref="L145" r:id="rId142" display="https://api.ikk.hu/v1/media/1937"/>
    <hyperlink ref="L146" r:id="rId143" display="https://api.ikk.hu/v1/media/1924"/>
    <hyperlink ref="L147" r:id="rId144" display="https://api.ikk.hu/v1/media/1912"/>
    <hyperlink ref="L148" r:id="rId145" display="https://api.ikk.hu/v1/media/1968"/>
    <hyperlink ref="L149" r:id="rId146" display="https://api.ikk.hu/v1/media/1870"/>
    <hyperlink ref="L150" r:id="rId147" display="https://api.ikk.hu/v1/media/1862"/>
    <hyperlink ref="L151" r:id="rId148" display="https://api.ikk.hu/v1/media/1869"/>
    <hyperlink ref="L202" r:id="rId149" display="https://api.ikk.hu/v1/media/2619"/>
    <hyperlink ref="L239" r:id="rId150" display="https://api.ikk.hu/v1/media/2618"/>
    <hyperlink ref="L240" r:id="rId151" display="https://api.ikk.hu/v1/media/2617"/>
    <hyperlink ref="L5" r:id="rId152" display="https://api.ikk.hu/v1/media/2729"/>
    <hyperlink ref="L45" r:id="rId153" display="https://api.ikk.hu/v1/media/2727"/>
    <hyperlink ref="L69" r:id="rId154" display="https://api.ikk.hu/v1/media/2728"/>
    <hyperlink ref="L242" r:id="rId155" display="https://api.ikk.hu/v1/media/2622"/>
    <hyperlink ref="L243" r:id="rId156" display="https://api.ikk.hu/v1/media/1964"/>
    <hyperlink ref="L244" r:id="rId157" display="https://api.ikk.hu/v1/media/1943"/>
    <hyperlink ref="L245" r:id="rId158" display="https://api.ikk.hu/v1/media/1855"/>
    <hyperlink ref="L246" r:id="rId159" display="https://api.ikk.hu/v1/media/1891"/>
    <hyperlink ref="L247" r:id="rId160" display="https://api.ikk.hu/v1/media/1863"/>
    <hyperlink ref="L248" r:id="rId161" display="https://api.ikk.hu/v1/media/1956"/>
    <hyperlink ref="L249" r:id="rId162" display="https://api.ikk.hu/v1/media/1951"/>
    <hyperlink ref="L250" r:id="rId163" display="https://api.ikk.hu/v1/media/1887"/>
    <hyperlink ref="L251" r:id="rId164" display="https://api.ikk.hu/v1/media/1882"/>
    <hyperlink ref="L252" r:id="rId165" display="https://api.ikk.hu/v1/media/1871"/>
    <hyperlink ref="L253" r:id="rId166" display="https://api.ikk.hu/v1/media/1910"/>
    <hyperlink ref="L254" r:id="rId167" display="https://api.ikk.hu/v1/media/1857"/>
    <hyperlink ref="L255" r:id="rId168" display="https://api.ikk.hu/v1/media/1897"/>
    <hyperlink ref="L256" r:id="rId169" display="https://api.ikk.hu/v1/media/1858"/>
    <hyperlink ref="L257" r:id="rId170" display="https://api.ikk.hu/v1/media/1859"/>
    <hyperlink ref="L337" r:id="rId171" display="https://api.ikk.hu/v1/media/2620"/>
    <hyperlink ref="L349" r:id="rId172" display="https://api.ikk.hu/v1/media/2623"/>
    <hyperlink ref="L356" r:id="rId173" display="https://api.ikk.hu/v1/media/2621"/>
    <hyperlink ref="L357" r:id="rId174" display="https://api.ikk.hu/v1/media/2726"/>
    <hyperlink ref="L6" r:id="rId175" display="https://api.ikk.hu/v1/media/1799"/>
    <hyperlink ref="L7" r:id="rId176" display="https://api.ikk.hu/v1/media/1800"/>
    <hyperlink ref="L8" r:id="rId177" display="https://api.ikk.hu/v1/media/1801"/>
    <hyperlink ref="L9" r:id="rId178" display="https://api.ikk.hu/v1/media/1802"/>
    <hyperlink ref="L10" r:id="rId179" display="https://api.ikk.hu/v1/media/1803"/>
    <hyperlink ref="L11" r:id="rId180" display="https://api.ikk.hu/v1/media/1804"/>
    <hyperlink ref="L12" r:id="rId181" display="https://api.ikk.hu/v1/media/1832"/>
    <hyperlink ref="L13" r:id="rId182" display="https://api.ikk.hu/v1/media/1833"/>
    <hyperlink ref="L14" r:id="rId183" display="https://api.ikk.hu/v1/media/1834"/>
    <hyperlink ref="L15" r:id="rId184" display="https://api.ikk.hu/v1/media/1835"/>
    <hyperlink ref="L16" r:id="rId185" display="https://api.ikk.hu/v1/media/1836"/>
    <hyperlink ref="L17" r:id="rId186" display="https://api.ikk.hu/v1/media/1837"/>
    <hyperlink ref="L51" r:id="rId187" display="https://api.ikk.hu/v1/media/1807"/>
    <hyperlink ref="L52" r:id="rId188" display="https://api.ikk.hu/v1/media/1974"/>
    <hyperlink ref="L53" r:id="rId189" display="https://api.ikk.hu/v1/media/1975"/>
    <hyperlink ref="L54" r:id="rId190" display="https://api.ikk.hu/v1/media/1806"/>
    <hyperlink ref="L55" r:id="rId191" display="https://api.ikk.hu/v1/media/1883"/>
    <hyperlink ref="L56" r:id="rId192" display="https://api.ikk.hu/v1/media/1940"/>
    <hyperlink ref="L57" r:id="rId193" display="https://api.ikk.hu/v1/media/1930"/>
    <hyperlink ref="L58" r:id="rId194" display="https://api.ikk.hu/v1/media/1959"/>
    <hyperlink ref="L112" r:id="rId195" display="https://api.ikk.hu/v1/media/1808"/>
    <hyperlink ref="L113" r:id="rId196" display="https://api.ikk.hu/v1/media/1809"/>
    <hyperlink ref="L114" r:id="rId197" display="https://api.ikk.hu/v1/media/1810"/>
    <hyperlink ref="L115" r:id="rId198" display="https://api.ikk.hu/v1/media/1811"/>
    <hyperlink ref="L116" r:id="rId199" display="https://api.ikk.hu/v1/media/1812"/>
    <hyperlink ref="L117" r:id="rId200" display="https://api.ikk.hu/v1/media/1813"/>
    <hyperlink ref="L118" r:id="rId201" display="https://api.ikk.hu/v1/media/1814"/>
    <hyperlink ref="L119" r:id="rId202" display="https://api.ikk.hu/v1/media/1815"/>
    <hyperlink ref="L120" r:id="rId203" display="https://api.ikk.hu/v1/media/1816"/>
    <hyperlink ref="L121" r:id="rId204" display="https://api.ikk.hu/v1/media/1817"/>
    <hyperlink ref="L122" r:id="rId205" display="https://api.ikk.hu/v1/media/1818"/>
    <hyperlink ref="L123" r:id="rId206" display="https://api.ikk.hu/v1/media/1819"/>
    <hyperlink ref="L131" r:id="rId207" display="https://api.ikk.hu/v1/media/2626"/>
    <hyperlink ref="L132" r:id="rId208" display="https://api.ikk.hu/v1/media/2624"/>
    <hyperlink ref="L133" r:id="rId209" display="https://api.ikk.hu/v1/media/2627"/>
    <hyperlink ref="L134" r:id="rId210" display="https://api.ikk.hu/v1/media/2625"/>
    <hyperlink ref="L135" r:id="rId211" display="https://api.ikk.hu/v1/media/2827"/>
    <hyperlink ref="L183" r:id="rId212" display="https://api.ikk.hu/v1/media/1820"/>
    <hyperlink ref="L184" r:id="rId213" display="https://api.ikk.hu/v1/media/1821"/>
    <hyperlink ref="L185" r:id="rId214" display="https://api.ikk.hu/v1/media/1822"/>
    <hyperlink ref="L186" r:id="rId215" display="https://api.ikk.hu/v1/media/1823"/>
    <hyperlink ref="L187" r:id="rId216" display="https://api.ikk.hu/v1/media/1824"/>
    <hyperlink ref="L188" r:id="rId217" display="https://api.ikk.hu/v1/media/1825"/>
    <hyperlink ref="L189" r:id="rId218" display="https://api.ikk.hu/v1/media/1830"/>
    <hyperlink ref="L190" r:id="rId219" display="https://api.ikk.hu/v1/media/1827"/>
    <hyperlink ref="L191" r:id="rId220" display="https://api.ikk.hu/v1/media/1829"/>
    <hyperlink ref="L192" r:id="rId221" display="https://api.ikk.hu/v1/media/1831"/>
    <hyperlink ref="L193" r:id="rId222" display="https://api.ikk.hu/v1/media/1962"/>
    <hyperlink ref="L194" r:id="rId223" display="https://api.ikk.hu/v1/media/1918"/>
    <hyperlink ref="L195" r:id="rId224" display="https://api.ikk.hu/v1/media/1967"/>
    <hyperlink ref="L196" r:id="rId225" display="https://api.ikk.hu/v1/media/1874"/>
    <hyperlink ref="L197" r:id="rId226" display="https://api.ikk.hu/v1/media/1899"/>
    <hyperlink ref="L198" r:id="rId227" display="https://api.ikk.hu/v1/media/1864"/>
    <hyperlink ref="L199" r:id="rId228" display="https://api.ikk.hu/v1/media/1926"/>
    <hyperlink ref="L200" r:id="rId229" display="https://api.ikk.hu/v1/media/1911"/>
    <hyperlink ref="L258" r:id="rId230" display="https://api.ikk.hu/v1/media/1881"/>
    <hyperlink ref="L259" r:id="rId231" display="https://api.ikk.hu/v1/media/1936"/>
    <hyperlink ref="L260" r:id="rId232" display="https://api.ikk.hu/v1/media/1901"/>
    <hyperlink ref="L261" r:id="rId233" display="https://api.ikk.hu/v1/media/1955"/>
    <hyperlink ref="L262" r:id="rId234" display="https://api.ikk.hu/v1/media/1963"/>
    <hyperlink ref="L263" r:id="rId235" display="https://api.ikk.hu/v1/media/1904"/>
    <hyperlink ref="L264" r:id="rId236" display="https://api.ikk.hu/v1/media/1929"/>
    <hyperlink ref="L265" r:id="rId237" display="https://api.ikk.hu/v1/media/1913"/>
    <hyperlink ref="L266" r:id="rId238" display="https://api.ikk.hu/v1/media/1927"/>
    <hyperlink ref="L267" r:id="rId239" display="https://api.ikk.hu/v1/media/1856"/>
    <hyperlink ref="L302" r:id="rId240" display="https://api.ikk.hu/v1/media/1865"/>
    <hyperlink ref="L299" r:id="rId241" display="https://api.ikk.hu/v1/media/1932"/>
    <hyperlink ref="L300" r:id="rId242" display="https://api.ikk.hu/v1/media/1888"/>
    <hyperlink ref="L301" r:id="rId243" display="https://api.ikk.hu/v1/media/1970"/>
    <hyperlink ref="L303" r:id="rId244" display="https://api.ikk.hu/v1/media/1915"/>
    <hyperlink ref="L304" r:id="rId245" display="https://api.ikk.hu/v1/media/1907"/>
    <hyperlink ref="L305" r:id="rId246" display="https://api.ikk.hu/v1/media/1854"/>
    <hyperlink ref="L306" r:id="rId247" display="https://api.ikk.hu/v1/media/1876"/>
    <hyperlink ref="L307" r:id="rId248" display="https://api.ikk.hu/v1/media/1944"/>
    <hyperlink ref="L308" r:id="rId249" display="https://api.ikk.hu/v1/media/1872"/>
    <hyperlink ref="L309" r:id="rId250" display="https://api.ikk.hu/v1/media/1860"/>
    <hyperlink ref="L310" r:id="rId251" display="https://api.ikk.hu/v1/media/1916"/>
    <hyperlink ref="L311" r:id="rId252" display="https://api.ikk.hu/v1/media/1917"/>
    <hyperlink ref="L312" r:id="rId253" display="https://api.ikk.hu/v1/media/1895"/>
    <hyperlink ref="L313" r:id="rId254" display="https://api.ikk.hu/v1/media/1921"/>
    <hyperlink ref="L314" r:id="rId255" display="https://api.ikk.hu/v1/media/1950"/>
    <hyperlink ref="L316" r:id="rId256" display="https://api.ikk.hu/v1/media/1898"/>
    <hyperlink ref="L317" r:id="rId257" display="https://api.ikk.hu/v1/media/1867"/>
    <hyperlink ref="L318" r:id="rId258" display="https://api.ikk.hu/v1/media/1914"/>
    <hyperlink ref="L319" r:id="rId259" display="https://api.ikk.hu/v1/media/1954"/>
    <hyperlink ref="L320" r:id="rId260" display="https://api.ikk.hu/v1/media/1875"/>
    <hyperlink ref="L321" r:id="rId261" display="https://api.ikk.hu/v1/media/1958"/>
    <hyperlink ref="L322" r:id="rId262" display="https://api.ikk.hu/v1/media/1797"/>
    <hyperlink ref="L323" r:id="rId263" display="https://api.ikk.hu/v1/media/1896"/>
    <hyperlink ref="L280" r:id="rId264" display="https://api.ikk.hu/v1/media/1952"/>
    <hyperlink ref="L281" r:id="rId265" display="https://api.ikk.hu/v1/media/1877"/>
    <hyperlink ref="L79" r:id="rId266" display="https://api.ikk.hu/v1/media/2699"/>
    <hyperlink ref="L289" r:id="rId267" display="https://api.ikk.hu/v1/media/2698"/>
    <hyperlink ref="L329" r:id="rId268" display="https://api.ikk.hu/v1/media/2700"/>
    <hyperlink ref="L141" r:id="rId269" display="https://api.ikk.hu/v1/media/2773"/>
    <hyperlink ref="L327" r:id="rId270" display="https://api.ikk.hu/v1/media/2772"/>
    <hyperlink ref="L40" r:id="rId271" display="https://api.ikk.hu/v1/media/2763"/>
    <hyperlink ref="L78" r:id="rId272" display="https://api.ikk.hu/v1/media/2764"/>
    <hyperlink ref="L291" r:id="rId273" display="https://api.ikk.hu/v1/media/2765"/>
    <hyperlink ref="L297" r:id="rId274" display="https://api.ikk.hu/v1/media/2762"/>
    <hyperlink ref="L72" r:id="rId275" display="https://api.ikk.hu/v1/media/2771"/>
    <hyperlink ref="L292" r:id="rId276" display="https://api.ikk.hu/v1/media/2766"/>
    <hyperlink ref="L293" r:id="rId277" display="https://api.ikk.hu/v1/media/2768"/>
    <hyperlink ref="L331" r:id="rId278" display="https://api.ikk.hu/v1/media/2770"/>
    <hyperlink ref="L41" r:id="rId279" display="https://api.ikk.hu/v1/media/2697"/>
    <hyperlink ref="L211" r:id="rId280" display="https://api.ikk.hu/v1/media/2628"/>
    <hyperlink ref="L38" r:id="rId281" display="https://api.ikk.hu/v1/media/2691"/>
    <hyperlink ref="L279" r:id="rId282" display="https://api.ikk.hu/v1/media/2692"/>
    <hyperlink ref="L105" r:id="rId283" display="https://api.ikk.hu/v1/media/2828"/>
    <hyperlink ref="L212" r:id="rId284" display="https://api.ikk.hu/v1/media/2710"/>
    <hyperlink ref="L107" r:id="rId285" display="https://api.ikk.hu/v1/media/2645"/>
    <hyperlink ref="L217" r:id="rId286" display="https://api.ikk.hu/v1/media/2629"/>
    <hyperlink ref="L2" r:id="rId287" display="https://api.ikk.hu/v1/media/2634"/>
    <hyperlink ref="L3" r:id="rId288" display="https://api.ikk.hu/v1/media/2633"/>
    <hyperlink ref="L101" r:id="rId289" display="https://api.ikk.hu/v1/media/2631"/>
    <hyperlink ref="L273" r:id="rId290" display="https://api.ikk.hu/v1/media/2635"/>
    <hyperlink ref="L283" r:id="rId291" display="https://api.ikk.hu/v1/media/2632"/>
    <hyperlink ref="L343" r:id="rId292" display="https://api.ikk.hu/v1/media/2630"/>
    <hyperlink ref="L344" r:id="rId293" display="https://api.ikk.hu/v1/media/2641"/>
    <hyperlink ref="L209" r:id="rId294" display="https://api.ikk.hu/v1/media/1894"/>
    <hyperlink ref="L324" r:id="rId295" display="https://api.ikk.hu/v1/media/2639"/>
    <hyperlink ref="L228" r:id="rId296" display="https://api.ikk.hu/v1/media/2644"/>
    <hyperlink ref="L20" r:id="rId297" display="https://api.ikk.hu/v1/media/1838"/>
    <hyperlink ref="L21" r:id="rId298" display="https://api.ikk.hu/v1/media/1839"/>
    <hyperlink ref="L27" r:id="rId299" display="https://api.ikk.hu/v1/media/1840"/>
    <hyperlink ref="L28" r:id="rId300" display="https://api.ikk.hu/v1/media/1841"/>
    <hyperlink ref="L48" r:id="rId301" display="https://api.ikk.hu/v1/media/1848"/>
    <hyperlink ref="L59" r:id="rId302" display="https://api.ikk.hu/v1/media/1923"/>
    <hyperlink ref="L62" r:id="rId303" display="https://api.ikk.hu/v1/media/1885"/>
    <hyperlink ref="L77" r:id="rId304" display="https://api.ikk.hu/v1/media/1946"/>
    <hyperlink ref="L106" r:id="rId305" display="https://api.ikk.hu/v1/media/2643"/>
    <hyperlink ref="L111" r:id="rId306" display="https://api.ikk.hu/v1/media/1965"/>
    <hyperlink ref="L236" r:id="rId307" display="https://api.ikk.hu/v1/media/1851"/>
    <hyperlink ref="L238" r:id="rId308" display="https://api.ikk.hu/v1/media/1934"/>
    <hyperlink ref="L269" r:id="rId309" display="https://api.ikk.hu/v1/media/1925"/>
    <hyperlink ref="L285" r:id="rId310" display="https://api.ikk.hu/v1/media/2731"/>
    <hyperlink ref="L288" r:id="rId311" display="https://api.ikk.hu/v1/media/1853"/>
    <hyperlink ref="L332" r:id="rId312" display="https://api.ikk.hu/v1/media/2730"/>
    <hyperlink ref="L340" r:id="rId313" display="https://api.ikk.hu/v1/media/1939"/>
    <hyperlink ref="L347" r:id="rId314" display="https://api.ikk.hu/v1/media/1908"/>
    <hyperlink ref="L19" r:id="rId315" display="https://api.ikk.hu/v1/media/2638"/>
    <hyperlink ref="L25" r:id="rId316" display="https://api.ikk.hu/v1/media/2637"/>
    <hyperlink ref="L282" r:id="rId317" display="https://api.ikk.hu/v1/media/2636"/>
    <hyperlink ref="L294" r:id="rId318" display="https://api.ikk.hu/v1/media/2642"/>
    <hyperlink ref="L155" r:id="rId319" display="https://api.ikk.hu/v1/media/2701"/>
    <hyperlink ref="L156" r:id="rId320" display="https://api.ikk.hu/v1/media/2605"/>
    <hyperlink ref="L157" r:id="rId321" display="https://api.ikk.hu/v1/media/2613"/>
    <hyperlink ref="L158" r:id="rId322" display="https://api.ikk.hu/v1/media/2612"/>
    <hyperlink ref="L159" r:id="rId323" display="https://api.ikk.hu/v1/media/2604"/>
    <hyperlink ref="L160" r:id="rId324" display="https://api.ikk.hu/v1/media/2603"/>
    <hyperlink ref="L161" r:id="rId325" display="https://api.ikk.hu/v1/media/2611"/>
    <hyperlink ref="L162" r:id="rId326" display="https://api.ikk.hu/v1/media/2610"/>
    <hyperlink ref="L163" r:id="rId327" display="https://api.ikk.hu/v1/media/2609"/>
    <hyperlink ref="L164" r:id="rId328" display="https://api.ikk.hu/v1/media/2608"/>
    <hyperlink ref="L165" r:id="rId329" display="https://api.ikk.hu/v1/media/2607"/>
    <hyperlink ref="L166" r:id="rId330" display="https://api.ikk.hu/v1/media/2709"/>
    <hyperlink ref="L167" r:id="rId331" display="https://api.ikk.hu/v1/media/2602"/>
    <hyperlink ref="L168" r:id="rId332" display="https://api.ikk.hu/v1/media/2703"/>
    <hyperlink ref="L169" r:id="rId333" display="https://api.ikk.hu/v1/media/2707"/>
    <hyperlink ref="L170" r:id="rId334" display="https://api.ikk.hu/v1/media/2702"/>
    <hyperlink ref="L171" r:id="rId335" display="https://api.ikk.hu/v1/media/2601"/>
    <hyperlink ref="L172" r:id="rId336" display="https://api.ikk.hu/v1/media/2600"/>
    <hyperlink ref="L173" r:id="rId337" display="https://api.ikk.hu/v1/media/2706"/>
    <hyperlink ref="L174" r:id="rId338" display="https://api.ikk.hu/v1/media/2708"/>
    <hyperlink ref="L175" r:id="rId339" display="https://api.ikk.hu/v1/media/2606"/>
    <hyperlink ref="L176" r:id="rId340" display="https://api.ikk.hu/v1/media/2704"/>
    <hyperlink ref="L177" r:id="rId341" display="https://api.ikk.hu/v1/media/2705"/>
    <hyperlink ref="L30" r:id="rId342" display="https://api.ikk.hu/v1/media/1842"/>
    <hyperlink ref="L31" r:id="rId343" display="https://api.ikk.hu/v1/media/1843"/>
    <hyperlink ref="L32" r:id="rId344" display="https://api.ikk.hu/v1/media/1844"/>
    <hyperlink ref="L33" r:id="rId345" display="https://api.ikk.hu/v1/media/1845"/>
    <hyperlink ref="L34" r:id="rId346" display="https://api.ikk.hu/v1/media/1846"/>
    <hyperlink ref="L35" r:id="rId347" display="https://api.ikk.hu/v1/media/1847"/>
    <hyperlink ref="L73" r:id="rId348" display="https://api.ikk.hu/v1/media/1953"/>
    <hyperlink ref="L95" r:id="rId349" display="https://api.ikk.hu/v1/media/1866"/>
    <hyperlink ref="L136" r:id="rId350" display="https://api.ikk.hu/v1/media/1879"/>
    <hyperlink ref="L137" r:id="rId351" display="https://api.ikk.hu/v1/media/1850"/>
    <hyperlink ref="L138" r:id="rId352" display="https://api.ikk.hu/v1/media/1949"/>
    <hyperlink ref="L205" r:id="rId353" display="https://api.ikk.hu/v1/media/1938"/>
    <hyperlink ref="L210" r:id="rId354" display="https://api.ikk.hu/v1/media/1928"/>
    <hyperlink ref="L213" r:id="rId355" display="https://api.ikk.hu/v1/media/1905"/>
    <hyperlink ref="L219" r:id="rId356" display="https://api.ikk.hu/v1/media/1889"/>
    <hyperlink ref="L277" r:id="rId357" display="https://api.ikk.hu/v1/media/1906"/>
    <hyperlink ref="L296" r:id="rId358" display="https://api.ikk.hu/v1/media/1884"/>
    <hyperlink ref="L333" r:id="rId359" display="https://api.ikk.hu/v1/media/2832"/>
    <hyperlink ref="L334" r:id="rId360" display="https://api.ikk.hu/v1/media/1892"/>
    <hyperlink ref="L335" r:id="rId361" display="https://api.ikk.hu/v1/media/1849"/>
    <hyperlink ref="L336" r:id="rId362" display="https://api.ikk.hu/v1/media/1920"/>
    <hyperlink ref="L342" r:id="rId363" display="https://api.ikk.hu/v1/media/1868"/>
    <hyperlink ref="L1" r:id="rId364" location="kereses"/>
  </hyperlinks>
  <pageMargins left="0.7" right="0.7" top="0.75" bottom="0.75" header="0.3" footer="0.3"/>
  <pageSetup paperSize="9" orientation="portrait" r:id="rId36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M429"/>
  <sheetViews>
    <sheetView zoomScale="70" zoomScaleNormal="70" workbookViewId="0">
      <pane ySplit="1" topLeftCell="A2" activePane="bottomLeft" state="frozen"/>
      <selection activeCell="B1" sqref="B1"/>
      <selection pane="bottomLeft" activeCell="B8" sqref="B8"/>
    </sheetView>
  </sheetViews>
  <sheetFormatPr defaultColWidth="9.140625" defaultRowHeight="15" x14ac:dyDescent="0.25"/>
  <cols>
    <col min="1" max="1" width="6.5703125" style="297" customWidth="1"/>
    <col min="2" max="2" width="84.85546875" style="310" customWidth="1"/>
    <col min="3" max="3" width="17.28515625" style="316" customWidth="1"/>
    <col min="4" max="4" width="16.7109375" style="318" customWidth="1"/>
    <col min="5" max="5" width="14.5703125" style="318" customWidth="1"/>
    <col min="6" max="6" width="15.140625" style="318" customWidth="1"/>
    <col min="7" max="7" width="33.42578125" style="311" customWidth="1"/>
    <col min="8" max="8" width="18" style="311" bestFit="1" customWidth="1"/>
    <col min="9" max="9" width="18.85546875" style="311" bestFit="1" customWidth="1"/>
    <col min="10" max="11" width="18.85546875" style="310" customWidth="1"/>
    <col min="12" max="12" width="96.85546875" style="312" customWidth="1"/>
    <col min="13" max="13" width="16.85546875" style="297" customWidth="1"/>
    <col min="14" max="16384" width="9.140625" style="297"/>
  </cols>
  <sheetData>
    <row r="1" spans="1:13" ht="97.5" customHeight="1" x14ac:dyDescent="0.25">
      <c r="A1" s="200" t="s">
        <v>1968</v>
      </c>
      <c r="B1" s="201" t="s">
        <v>1421</v>
      </c>
      <c r="C1" s="206" t="s">
        <v>2771</v>
      </c>
      <c r="D1" s="206" t="s">
        <v>2413</v>
      </c>
      <c r="E1" s="206" t="s">
        <v>2414</v>
      </c>
      <c r="F1" s="206" t="s">
        <v>372</v>
      </c>
      <c r="G1" s="201" t="s">
        <v>2772</v>
      </c>
      <c r="H1" s="201" t="s">
        <v>2773</v>
      </c>
      <c r="I1" s="201" t="s">
        <v>2774</v>
      </c>
      <c r="J1" s="201" t="s">
        <v>1970</v>
      </c>
      <c r="K1" s="201" t="s">
        <v>2020</v>
      </c>
      <c r="L1" s="202" t="s">
        <v>2770</v>
      </c>
      <c r="M1" s="206" t="s">
        <v>2805</v>
      </c>
    </row>
    <row r="2" spans="1:13" ht="15.75" hidden="1" customHeight="1" x14ac:dyDescent="0.25">
      <c r="A2" s="319">
        <v>119</v>
      </c>
      <c r="B2" s="298" t="s">
        <v>2933</v>
      </c>
      <c r="C2" s="315" t="s">
        <v>2934</v>
      </c>
      <c r="D2" s="317" t="s">
        <v>1638</v>
      </c>
      <c r="E2" s="317" t="s">
        <v>3455</v>
      </c>
      <c r="F2" s="317" t="s">
        <v>3490</v>
      </c>
      <c r="G2" s="299" t="s">
        <v>1353</v>
      </c>
      <c r="H2" s="299">
        <v>160</v>
      </c>
      <c r="I2" s="299">
        <v>320</v>
      </c>
      <c r="J2" s="298">
        <f>IF(OR(G2="ágazaton kívüli",G2="n.a."),2.2,IF(OR(E2=2,E2=3,E2=4),VLOOKUP(G2,Szakmaszorzók!$B$2:$D$25,2,0),VLOOKUP(G2,Szakmaszorzók!$B$2:$D$25,3,0)))</f>
        <v>2.2000000000000002</v>
      </c>
      <c r="K2" s="320">
        <f>'Támogatás szorzat tényezői'!$C$2*'Támogatás szorzat tényezői'!$C$5*J2*(H2/1000)</f>
        <v>126720.00000000001</v>
      </c>
      <c r="L2" s="302"/>
      <c r="M2" s="319">
        <f t="shared" ref="M2:M65" si="0">LEN(C2)</f>
        <v>8</v>
      </c>
    </row>
    <row r="3" spans="1:13" ht="15.75" hidden="1" customHeight="1" x14ac:dyDescent="0.25">
      <c r="A3" s="319">
        <v>344</v>
      </c>
      <c r="B3" s="298" t="s">
        <v>3722</v>
      </c>
      <c r="C3" s="313" t="s">
        <v>2794</v>
      </c>
      <c r="D3" s="317" t="s">
        <v>1630</v>
      </c>
      <c r="E3" s="317" t="s">
        <v>3455</v>
      </c>
      <c r="F3" s="317" t="s">
        <v>3502</v>
      </c>
      <c r="G3" s="299" t="s">
        <v>1389</v>
      </c>
      <c r="H3" s="299">
        <v>310</v>
      </c>
      <c r="I3" s="299">
        <v>560</v>
      </c>
      <c r="J3" s="298">
        <f>IF(OR(G3="ágazaton kívüli",G3="n.a."),2.2,IF(OR(E3=2,E3=3,E3=4),VLOOKUP(G3,Szakmaszorzók!$B$2:$D$25,2,0),VLOOKUP(G3,Szakmaszorzók!$B$2:$D$25,3,0)))</f>
        <v>2.2000000000000002</v>
      </c>
      <c r="K3" s="320">
        <f>'Támogatás szorzat tényezői'!$C$2*'Támogatás szorzat tényezői'!$C$5*J3*(H3/1000)</f>
        <v>245520.00000000003</v>
      </c>
      <c r="L3" s="300"/>
      <c r="M3" s="319">
        <f t="shared" si="0"/>
        <v>8</v>
      </c>
    </row>
    <row r="4" spans="1:13" ht="15.75" hidden="1" customHeight="1" x14ac:dyDescent="0.25">
      <c r="A4" s="319">
        <v>2</v>
      </c>
      <c r="B4" s="298" t="s">
        <v>2868</v>
      </c>
      <c r="C4" s="314" t="s">
        <v>2869</v>
      </c>
      <c r="D4" s="317" t="s">
        <v>3457</v>
      </c>
      <c r="E4" s="317" t="s">
        <v>3458</v>
      </c>
      <c r="F4" s="317" t="s">
        <v>3456</v>
      </c>
      <c r="G4" s="7" t="s">
        <v>1301</v>
      </c>
      <c r="H4" s="7">
        <v>40</v>
      </c>
      <c r="I4" s="7">
        <v>60</v>
      </c>
      <c r="J4" s="298">
        <f>IF(OR(G4="ágazaton kívüli",G4="n.a."),2.2,IF(OR(E4=2,E4=3,E4=4),VLOOKUP(G4,Szakmaszorzók!$B$2:$D$25,2,0),VLOOKUP(G4,Szakmaszorzók!$B$2:$D$25,3,0)))</f>
        <v>2.85</v>
      </c>
      <c r="K4" s="320">
        <f>'Támogatás szorzat tényezői'!$C$2*'Támogatás szorzat tényezői'!$C$5*J4*(H4/1000)</f>
        <v>41040</v>
      </c>
      <c r="L4" s="301"/>
      <c r="M4" s="319">
        <f t="shared" si="0"/>
        <v>8</v>
      </c>
    </row>
    <row r="5" spans="1:13" ht="15.75" hidden="1" customHeight="1" x14ac:dyDescent="0.25">
      <c r="A5" s="319">
        <v>345</v>
      </c>
      <c r="B5" s="298" t="s">
        <v>46</v>
      </c>
      <c r="C5" s="313" t="s">
        <v>2795</v>
      </c>
      <c r="D5" s="317" t="s">
        <v>1630</v>
      </c>
      <c r="E5" s="317" t="s">
        <v>3455</v>
      </c>
      <c r="F5" s="317" t="s">
        <v>3505</v>
      </c>
      <c r="G5" s="299" t="s">
        <v>1389</v>
      </c>
      <c r="H5" s="299">
        <v>160</v>
      </c>
      <c r="I5" s="299">
        <v>240</v>
      </c>
      <c r="J5" s="298">
        <f>IF(OR(G5="ágazaton kívüli",G5="n.a."),2.2,IF(OR(E5=2,E5=3,E5=4),VLOOKUP(G5,Szakmaszorzók!$B$2:$D$25,2,0),VLOOKUP(G5,Szakmaszorzók!$B$2:$D$25,3,0)))</f>
        <v>2.2000000000000002</v>
      </c>
      <c r="K5" s="320">
        <f>'Támogatás szorzat tényezői'!$C$2*'Támogatás szorzat tényezői'!$C$5*J5*(H5/1000)</f>
        <v>126720.00000000001</v>
      </c>
      <c r="L5" s="300"/>
      <c r="M5" s="319">
        <f t="shared" si="0"/>
        <v>8</v>
      </c>
    </row>
    <row r="6" spans="1:13" ht="15.75" hidden="1" customHeight="1" x14ac:dyDescent="0.25">
      <c r="A6" s="319">
        <v>1</v>
      </c>
      <c r="B6" s="298" t="s">
        <v>2855</v>
      </c>
      <c r="C6" s="313" t="s">
        <v>1706</v>
      </c>
      <c r="D6" s="317" t="s">
        <v>3454</v>
      </c>
      <c r="E6" s="317" t="s">
        <v>3455</v>
      </c>
      <c r="F6" s="317" t="s">
        <v>3456</v>
      </c>
      <c r="G6" s="299" t="s">
        <v>1316</v>
      </c>
      <c r="H6" s="299">
        <v>500</v>
      </c>
      <c r="I6" s="299">
        <v>600</v>
      </c>
      <c r="J6" s="298">
        <f>IF(OR(G6="ágazaton kívüli",G6="n.a."),2.2,IF(OR(E6=2,E6=3,E6=4),VLOOKUP(G6,Szakmaszorzók!$B$2:$D$25,2,0),VLOOKUP(G6,Szakmaszorzók!$B$2:$D$25,3,0)))</f>
        <v>2.85</v>
      </c>
      <c r="K6" s="320">
        <f>'Támogatás szorzat tényezői'!$C$2*'Támogatás szorzat tényezői'!$C$5*J6*(H6/1000)</f>
        <v>513000</v>
      </c>
      <c r="L6" s="300"/>
      <c r="M6" s="319">
        <f t="shared" si="0"/>
        <v>8</v>
      </c>
    </row>
    <row r="7" spans="1:13" ht="15.75" hidden="1" customHeight="1" x14ac:dyDescent="0.25">
      <c r="A7" s="319">
        <v>300</v>
      </c>
      <c r="B7" s="298" t="s">
        <v>3061</v>
      </c>
      <c r="C7" s="313" t="s">
        <v>3062</v>
      </c>
      <c r="D7" s="317" t="s">
        <v>3699</v>
      </c>
      <c r="E7" s="317" t="s">
        <v>3459</v>
      </c>
      <c r="F7" s="317" t="s">
        <v>3492</v>
      </c>
      <c r="G7" s="304" t="s">
        <v>1325</v>
      </c>
      <c r="H7" s="304">
        <v>200</v>
      </c>
      <c r="I7" s="304">
        <v>250</v>
      </c>
      <c r="J7" s="298">
        <f>IF(OR(G7="ágazaton kívüli",G7="n.a."),2.2,IF(OR(E7=2,E7=3,E7=4),VLOOKUP(G7,Szakmaszorzók!$B$2:$D$25,2,0),VLOOKUP(G7,Szakmaszorzók!$B$2:$D$25,3,0)))</f>
        <v>2.2000000000000002</v>
      </c>
      <c r="K7" s="320">
        <f>'Támogatás szorzat tényezői'!$C$2*'Támogatás szorzat tényezői'!$C$5*J7*(H7/1000)</f>
        <v>158400.00000000003</v>
      </c>
      <c r="L7" s="300"/>
      <c r="M7" s="319">
        <f t="shared" si="0"/>
        <v>8</v>
      </c>
    </row>
    <row r="8" spans="1:13" ht="15.75" customHeight="1" x14ac:dyDescent="0.25">
      <c r="A8" s="319">
        <v>153</v>
      </c>
      <c r="B8" s="298" t="s">
        <v>50</v>
      </c>
      <c r="C8" s="313" t="s">
        <v>2789</v>
      </c>
      <c r="D8" s="317" t="s">
        <v>1360</v>
      </c>
      <c r="E8" s="317" t="s">
        <v>3455</v>
      </c>
      <c r="F8" s="317" t="s">
        <v>3489</v>
      </c>
      <c r="G8" s="307" t="s">
        <v>1883</v>
      </c>
      <c r="H8" s="7">
        <v>480</v>
      </c>
      <c r="I8" s="296">
        <v>720</v>
      </c>
      <c r="J8" s="298">
        <f>IF(OR(G8="ágazaton kívüli",G8="n.a."),2.2,IF(OR(E8=2,E8=3,E8=4),VLOOKUP(G8,Szakmaszorzók!$B$2:$D$25,2,0),VLOOKUP(G8,Szakmaszorzók!$B$2:$D$25,3,0)))</f>
        <v>2.2000000000000002</v>
      </c>
      <c r="K8" s="320">
        <f>'Támogatás szorzat tényezői'!$C$2*'Támogatás szorzat tényezői'!$C$5*J8*(H8/1000)</f>
        <v>380160.00000000006</v>
      </c>
      <c r="L8" s="300"/>
      <c r="M8" s="319">
        <f t="shared" si="0"/>
        <v>8</v>
      </c>
    </row>
    <row r="9" spans="1:13" ht="15.75" hidden="1" customHeight="1" x14ac:dyDescent="0.25">
      <c r="A9" s="319">
        <v>154</v>
      </c>
      <c r="B9" s="298" t="s">
        <v>3563</v>
      </c>
      <c r="C9" s="313" t="s">
        <v>1422</v>
      </c>
      <c r="D9" s="317" t="s">
        <v>3564</v>
      </c>
      <c r="E9" s="317" t="s">
        <v>3455</v>
      </c>
      <c r="F9" s="317" t="s">
        <v>3484</v>
      </c>
      <c r="G9" s="308" t="s">
        <v>1883</v>
      </c>
      <c r="H9" s="299">
        <v>900</v>
      </c>
      <c r="I9" s="299">
        <v>1300</v>
      </c>
      <c r="J9" s="298">
        <f>IF(OR(G9="ágazaton kívüli",G9="n.a."),2.2,IF(OR(E9=2,E9=3,E9=4),VLOOKUP(G9,Szakmaszorzók!$B$2:$D$25,2,0),VLOOKUP(G9,Szakmaszorzók!$B$2:$D$25,3,0)))</f>
        <v>2.2000000000000002</v>
      </c>
      <c r="K9" s="320">
        <f>'Támogatás szorzat tényezői'!$C$2*'Támogatás szorzat tényezői'!$C$5*J9*(H9/1000)</f>
        <v>712800.00000000012</v>
      </c>
      <c r="L9" s="300"/>
      <c r="M9" s="319">
        <f t="shared" si="0"/>
        <v>8</v>
      </c>
    </row>
    <row r="10" spans="1:13" ht="15.75" hidden="1" customHeight="1" x14ac:dyDescent="0.25">
      <c r="A10" s="319">
        <v>155</v>
      </c>
      <c r="B10" s="298" t="s">
        <v>3565</v>
      </c>
      <c r="C10" s="313" t="s">
        <v>1423</v>
      </c>
      <c r="D10" s="317" t="s">
        <v>3564</v>
      </c>
      <c r="E10" s="317" t="s">
        <v>3455</v>
      </c>
      <c r="F10" s="317" t="s">
        <v>3490</v>
      </c>
      <c r="G10" s="308" t="s">
        <v>1883</v>
      </c>
      <c r="H10" s="299">
        <v>900</v>
      </c>
      <c r="I10" s="299">
        <v>1300</v>
      </c>
      <c r="J10" s="298">
        <f>IF(OR(G10="ágazaton kívüli",G10="n.a."),2.2,IF(OR(E10=2,E10=3,E10=4),VLOOKUP(G10,Szakmaszorzók!$B$2:$D$25,2,0),VLOOKUP(G10,Szakmaszorzók!$B$2:$D$25,3,0)))</f>
        <v>2.2000000000000002</v>
      </c>
      <c r="K10" s="320">
        <f>'Támogatás szorzat tényezői'!$C$2*'Támogatás szorzat tényezői'!$C$5*J10*(H10/1000)</f>
        <v>712800.00000000012</v>
      </c>
      <c r="L10" s="300"/>
      <c r="M10" s="319">
        <f t="shared" si="0"/>
        <v>8</v>
      </c>
    </row>
    <row r="11" spans="1:13" ht="15.75" hidden="1" customHeight="1" x14ac:dyDescent="0.25">
      <c r="A11" s="319">
        <v>156</v>
      </c>
      <c r="B11" s="298" t="s">
        <v>3015</v>
      </c>
      <c r="C11" s="313" t="s">
        <v>1424</v>
      </c>
      <c r="D11" s="317" t="s">
        <v>3564</v>
      </c>
      <c r="E11" s="317" t="s">
        <v>3455</v>
      </c>
      <c r="F11" s="317" t="s">
        <v>3480</v>
      </c>
      <c r="G11" s="308" t="s">
        <v>1883</v>
      </c>
      <c r="H11" s="299">
        <v>900</v>
      </c>
      <c r="I11" s="299">
        <v>1300</v>
      </c>
      <c r="J11" s="298">
        <f>IF(OR(G11="ágazaton kívüli",G11="n.a."),2.2,IF(OR(E11=2,E11=3,E11=4),VLOOKUP(G11,Szakmaszorzók!$B$2:$D$25,2,0),VLOOKUP(G11,Szakmaszorzók!$B$2:$D$25,3,0)))</f>
        <v>2.2000000000000002</v>
      </c>
      <c r="K11" s="320">
        <f>'Támogatás szorzat tényezői'!$C$2*'Támogatás szorzat tényezői'!$C$5*J11*(H11/1000)</f>
        <v>712800.00000000012</v>
      </c>
      <c r="L11" s="300"/>
      <c r="M11" s="319">
        <f t="shared" si="0"/>
        <v>8</v>
      </c>
    </row>
    <row r="12" spans="1:13" ht="15.75" hidden="1" customHeight="1" x14ac:dyDescent="0.25">
      <c r="A12" s="319">
        <v>157</v>
      </c>
      <c r="B12" s="298" t="s">
        <v>3566</v>
      </c>
      <c r="C12" s="313" t="s">
        <v>1425</v>
      </c>
      <c r="D12" s="317" t="s">
        <v>3564</v>
      </c>
      <c r="E12" s="317" t="s">
        <v>3455</v>
      </c>
      <c r="F12" s="317" t="s">
        <v>3461</v>
      </c>
      <c r="G12" s="308" t="s">
        <v>1883</v>
      </c>
      <c r="H12" s="299">
        <v>900</v>
      </c>
      <c r="I12" s="299">
        <v>1300</v>
      </c>
      <c r="J12" s="298">
        <f>IF(OR(G12="ágazaton kívüli",G12="n.a."),2.2,IF(OR(E12=2,E12=3,E12=4),VLOOKUP(G12,Szakmaszorzók!$B$2:$D$25,2,0),VLOOKUP(G12,Szakmaszorzók!$B$2:$D$25,3,0)))</f>
        <v>2.2000000000000002</v>
      </c>
      <c r="K12" s="320">
        <f>'Támogatás szorzat tényezői'!$C$2*'Támogatás szorzat tényezői'!$C$5*J12*(H12/1000)</f>
        <v>712800.00000000012</v>
      </c>
      <c r="L12" s="300"/>
      <c r="M12" s="319">
        <f t="shared" si="0"/>
        <v>8</v>
      </c>
    </row>
    <row r="13" spans="1:13" ht="15.75" hidden="1" customHeight="1" x14ac:dyDescent="0.25">
      <c r="A13" s="319">
        <v>158</v>
      </c>
      <c r="B13" s="298" t="s">
        <v>3016</v>
      </c>
      <c r="C13" s="313" t="s">
        <v>1426</v>
      </c>
      <c r="D13" s="317" t="s">
        <v>3564</v>
      </c>
      <c r="E13" s="317" t="s">
        <v>3455</v>
      </c>
      <c r="F13" s="317" t="s">
        <v>3460</v>
      </c>
      <c r="G13" s="308" t="s">
        <v>1883</v>
      </c>
      <c r="H13" s="299">
        <v>900</v>
      </c>
      <c r="I13" s="299">
        <v>1300</v>
      </c>
      <c r="J13" s="298">
        <f>IF(OR(G13="ágazaton kívüli",G13="n.a."),2.2,IF(OR(E13=2,E13=3,E13=4),VLOOKUP(G13,Szakmaszorzók!$B$2:$D$25,2,0),VLOOKUP(G13,Szakmaszorzók!$B$2:$D$25,3,0)))</f>
        <v>2.2000000000000002</v>
      </c>
      <c r="K13" s="320">
        <f>'Támogatás szorzat tényezői'!$C$2*'Támogatás szorzat tényezői'!$C$5*J13*(H13/1000)</f>
        <v>712800.00000000012</v>
      </c>
      <c r="L13" s="300"/>
      <c r="M13" s="319">
        <f t="shared" si="0"/>
        <v>8</v>
      </c>
    </row>
    <row r="14" spans="1:13" ht="15.75" hidden="1" customHeight="1" x14ac:dyDescent="0.25">
      <c r="A14" s="319">
        <v>159</v>
      </c>
      <c r="B14" s="298" t="s">
        <v>3017</v>
      </c>
      <c r="C14" s="313" t="s">
        <v>1427</v>
      </c>
      <c r="D14" s="317" t="s">
        <v>3564</v>
      </c>
      <c r="E14" s="317" t="s">
        <v>3455</v>
      </c>
      <c r="F14" s="317" t="s">
        <v>3471</v>
      </c>
      <c r="G14" s="308" t="s">
        <v>1883</v>
      </c>
      <c r="H14" s="299">
        <v>900</v>
      </c>
      <c r="I14" s="299">
        <v>1300</v>
      </c>
      <c r="J14" s="298">
        <f>IF(OR(G14="ágazaton kívüli",G14="n.a."),2.2,IF(OR(E14=2,E14=3,E14=4),VLOOKUP(G14,Szakmaszorzók!$B$2:$D$25,2,0),VLOOKUP(G14,Szakmaszorzók!$B$2:$D$25,3,0)))</f>
        <v>2.2000000000000002</v>
      </c>
      <c r="K14" s="320">
        <f>'Támogatás szorzat tényezői'!$C$2*'Támogatás szorzat tényezői'!$C$5*J14*(H14/1000)</f>
        <v>712800.00000000012</v>
      </c>
      <c r="L14" s="300"/>
      <c r="M14" s="319">
        <f t="shared" si="0"/>
        <v>8</v>
      </c>
    </row>
    <row r="15" spans="1:13" ht="15.75" hidden="1" customHeight="1" x14ac:dyDescent="0.25">
      <c r="A15" s="319">
        <v>160</v>
      </c>
      <c r="B15" s="298" t="s">
        <v>3000</v>
      </c>
      <c r="C15" s="313" t="s">
        <v>1428</v>
      </c>
      <c r="D15" s="317" t="s">
        <v>3564</v>
      </c>
      <c r="E15" s="317" t="s">
        <v>3459</v>
      </c>
      <c r="F15" s="317" t="s">
        <v>3456</v>
      </c>
      <c r="G15" s="308" t="s">
        <v>1883</v>
      </c>
      <c r="H15" s="299">
        <v>2000</v>
      </c>
      <c r="I15" s="299">
        <v>2700</v>
      </c>
      <c r="J15" s="298">
        <f>IF(OR(G15="ágazaton kívüli",G15="n.a."),2.2,IF(OR(E15=2,E15=3,E15=4),VLOOKUP(G15,Szakmaszorzók!$B$2:$D$25,2,0),VLOOKUP(G15,Szakmaszorzók!$B$2:$D$25,3,0)))</f>
        <v>2.2000000000000002</v>
      </c>
      <c r="K15" s="320">
        <f>'Támogatás szorzat tényezői'!$C$2*'Támogatás szorzat tényezői'!$C$5*J15*(H15/1000)</f>
        <v>1584000.0000000002</v>
      </c>
      <c r="L15" s="300"/>
      <c r="M15" s="319">
        <f t="shared" si="0"/>
        <v>8</v>
      </c>
    </row>
    <row r="16" spans="1:13" ht="15.75" hidden="1" customHeight="1" x14ac:dyDescent="0.25">
      <c r="A16" s="319">
        <v>161</v>
      </c>
      <c r="B16" s="298" t="s">
        <v>3567</v>
      </c>
      <c r="C16" s="313" t="s">
        <v>1429</v>
      </c>
      <c r="D16" s="317" t="s">
        <v>3564</v>
      </c>
      <c r="E16" s="317" t="s">
        <v>3459</v>
      </c>
      <c r="F16" s="317" t="s">
        <v>3464</v>
      </c>
      <c r="G16" s="308" t="s">
        <v>1883</v>
      </c>
      <c r="H16" s="299">
        <v>2000</v>
      </c>
      <c r="I16" s="299">
        <v>2700</v>
      </c>
      <c r="J16" s="298">
        <f>IF(OR(G16="ágazaton kívüli",G16="n.a."),2.2,IF(OR(E16=2,E16=3,E16=4),VLOOKUP(G16,Szakmaszorzók!$B$2:$D$25,2,0),VLOOKUP(G16,Szakmaszorzók!$B$2:$D$25,3,0)))</f>
        <v>2.2000000000000002</v>
      </c>
      <c r="K16" s="320">
        <f>'Támogatás szorzat tényezői'!$C$2*'Támogatás szorzat tényezői'!$C$5*J16*(H16/1000)</f>
        <v>1584000.0000000002</v>
      </c>
      <c r="L16" s="300"/>
      <c r="M16" s="319">
        <f t="shared" si="0"/>
        <v>8</v>
      </c>
    </row>
    <row r="17" spans="1:13" ht="15.75" hidden="1" customHeight="1" x14ac:dyDescent="0.25">
      <c r="A17" s="319">
        <v>162</v>
      </c>
      <c r="B17" s="298" t="s">
        <v>3568</v>
      </c>
      <c r="C17" s="313" t="s">
        <v>1430</v>
      </c>
      <c r="D17" s="317" t="s">
        <v>3564</v>
      </c>
      <c r="E17" s="317" t="s">
        <v>3459</v>
      </c>
      <c r="F17" s="317" t="s">
        <v>3481</v>
      </c>
      <c r="G17" s="308" t="s">
        <v>1883</v>
      </c>
      <c r="H17" s="299">
        <v>2000</v>
      </c>
      <c r="I17" s="299">
        <v>2700</v>
      </c>
      <c r="J17" s="298">
        <f>IF(OR(G17="ágazaton kívüli",G17="n.a."),2.2,IF(OR(E17=2,E17=3,E17=4),VLOOKUP(G17,Szakmaszorzók!$B$2:$D$25,2,0),VLOOKUP(G17,Szakmaszorzók!$B$2:$D$25,3,0)))</f>
        <v>2.2000000000000002</v>
      </c>
      <c r="K17" s="320">
        <f>'Támogatás szorzat tényezői'!$C$2*'Támogatás szorzat tényezői'!$C$5*J17*(H17/1000)</f>
        <v>1584000.0000000002</v>
      </c>
      <c r="L17" s="300"/>
      <c r="M17" s="319">
        <f t="shared" si="0"/>
        <v>8</v>
      </c>
    </row>
    <row r="18" spans="1:13" ht="15.75" hidden="1" customHeight="1" x14ac:dyDescent="0.25">
      <c r="A18" s="319">
        <v>163</v>
      </c>
      <c r="B18" s="298" t="s">
        <v>3001</v>
      </c>
      <c r="C18" s="313" t="s">
        <v>1431</v>
      </c>
      <c r="D18" s="317" t="s">
        <v>3564</v>
      </c>
      <c r="E18" s="317" t="s">
        <v>3459</v>
      </c>
      <c r="F18" s="317" t="s">
        <v>3462</v>
      </c>
      <c r="G18" s="308" t="s">
        <v>1883</v>
      </c>
      <c r="H18" s="299">
        <v>2000</v>
      </c>
      <c r="I18" s="299">
        <v>2700</v>
      </c>
      <c r="J18" s="298">
        <f>IF(OR(G18="ágazaton kívüli",G18="n.a."),2.2,IF(OR(E18=2,E18=3,E18=4),VLOOKUP(G18,Szakmaszorzók!$B$2:$D$25,2,0),VLOOKUP(G18,Szakmaszorzók!$B$2:$D$25,3,0)))</f>
        <v>2.2000000000000002</v>
      </c>
      <c r="K18" s="320">
        <f>'Támogatás szorzat tényezői'!$C$2*'Támogatás szorzat tényezői'!$C$5*J18*(H18/1000)</f>
        <v>1584000.0000000002</v>
      </c>
      <c r="L18" s="300"/>
      <c r="M18" s="319">
        <f t="shared" si="0"/>
        <v>8</v>
      </c>
    </row>
    <row r="19" spans="1:13" ht="15.75" hidden="1" customHeight="1" x14ac:dyDescent="0.25">
      <c r="A19" s="319">
        <v>164</v>
      </c>
      <c r="B19" s="298" t="s">
        <v>3569</v>
      </c>
      <c r="C19" s="313" t="s">
        <v>1432</v>
      </c>
      <c r="D19" s="317" t="s">
        <v>3564</v>
      </c>
      <c r="E19" s="317" t="s">
        <v>3459</v>
      </c>
      <c r="F19" s="317" t="s">
        <v>3505</v>
      </c>
      <c r="G19" s="308" t="s">
        <v>1883</v>
      </c>
      <c r="H19" s="299">
        <v>2000</v>
      </c>
      <c r="I19" s="299">
        <v>2700</v>
      </c>
      <c r="J19" s="298">
        <f>IF(OR(G19="ágazaton kívüli",G19="n.a."),2.2,IF(OR(E19=2,E19=3,E19=4),VLOOKUP(G19,Szakmaszorzók!$B$2:$D$25,2,0),VLOOKUP(G19,Szakmaszorzók!$B$2:$D$25,3,0)))</f>
        <v>2.2000000000000002</v>
      </c>
      <c r="K19" s="320">
        <f>'Támogatás szorzat tényezői'!$C$2*'Támogatás szorzat tényezői'!$C$5*J19*(H19/1000)</f>
        <v>1584000.0000000002</v>
      </c>
      <c r="L19" s="300"/>
      <c r="M19" s="319">
        <f t="shared" si="0"/>
        <v>8</v>
      </c>
    </row>
    <row r="20" spans="1:13" ht="15.75" hidden="1" customHeight="1" x14ac:dyDescent="0.25">
      <c r="A20" s="319">
        <v>165</v>
      </c>
      <c r="B20" s="298" t="s">
        <v>3570</v>
      </c>
      <c r="C20" s="313" t="s">
        <v>1433</v>
      </c>
      <c r="D20" s="317" t="s">
        <v>3564</v>
      </c>
      <c r="E20" s="317" t="s">
        <v>3459</v>
      </c>
      <c r="F20" s="317" t="s">
        <v>3502</v>
      </c>
      <c r="G20" s="308" t="s">
        <v>1883</v>
      </c>
      <c r="H20" s="299">
        <v>2000</v>
      </c>
      <c r="I20" s="299">
        <v>2700</v>
      </c>
      <c r="J20" s="298">
        <f>IF(OR(G20="ágazaton kívüli",G20="n.a."),2.2,IF(OR(E20=2,E20=3,E20=4),VLOOKUP(G20,Szakmaszorzók!$B$2:$D$25,2,0),VLOOKUP(G20,Szakmaszorzók!$B$2:$D$25,3,0)))</f>
        <v>2.2000000000000002</v>
      </c>
      <c r="K20" s="320">
        <f>'Támogatás szorzat tényezői'!$C$2*'Támogatás szorzat tényezői'!$C$5*J20*(H20/1000)</f>
        <v>1584000.0000000002</v>
      </c>
      <c r="L20" s="300"/>
      <c r="M20" s="319">
        <f t="shared" si="0"/>
        <v>8</v>
      </c>
    </row>
    <row r="21" spans="1:13" ht="15.75" hidden="1" customHeight="1" x14ac:dyDescent="0.25">
      <c r="A21" s="319">
        <v>3</v>
      </c>
      <c r="B21" s="298" t="s">
        <v>66</v>
      </c>
      <c r="C21" s="313" t="s">
        <v>1434</v>
      </c>
      <c r="D21" s="317" t="s">
        <v>1291</v>
      </c>
      <c r="E21" s="317" t="s">
        <v>3459</v>
      </c>
      <c r="F21" s="317" t="s">
        <v>3456</v>
      </c>
      <c r="G21" s="299" t="s">
        <v>1290</v>
      </c>
      <c r="H21" s="299">
        <v>500</v>
      </c>
      <c r="I21" s="299">
        <v>800</v>
      </c>
      <c r="J21" s="298">
        <f>IF(OR(G21="ágazaton kívüli",G21="n.a."),2.2,IF(OR(E21=2,E21=3,E21=4),VLOOKUP(G21,Szakmaszorzók!$B$2:$D$25,2,0),VLOOKUP(G21,Szakmaszorzók!$B$2:$D$25,3,0)))</f>
        <v>2.85</v>
      </c>
      <c r="K21" s="320">
        <f>'Támogatás szorzat tényezői'!$C$2*'Támogatás szorzat tényezői'!$C$5*J21*(H21/1000)</f>
        <v>513000</v>
      </c>
      <c r="L21" s="300"/>
      <c r="M21" s="319">
        <f t="shared" si="0"/>
        <v>8</v>
      </c>
    </row>
    <row r="22" spans="1:13" ht="15.75" hidden="1" customHeight="1" x14ac:dyDescent="0.25">
      <c r="A22" s="319">
        <v>346</v>
      </c>
      <c r="B22" s="298" t="s">
        <v>3119</v>
      </c>
      <c r="C22" s="313" t="s">
        <v>2802</v>
      </c>
      <c r="D22" s="317" t="s">
        <v>3723</v>
      </c>
      <c r="E22" s="317" t="s">
        <v>3459</v>
      </c>
      <c r="F22" s="317" t="s">
        <v>3481</v>
      </c>
      <c r="G22" s="299" t="s">
        <v>1389</v>
      </c>
      <c r="H22" s="299">
        <v>160</v>
      </c>
      <c r="I22" s="299">
        <v>240</v>
      </c>
      <c r="J22" s="298">
        <f>IF(OR(G22="ágazaton kívüli",G22="n.a."),2.2,IF(OR(E22=2,E22=3,E22=4),VLOOKUP(G22,Szakmaszorzók!$B$2:$D$25,2,0),VLOOKUP(G22,Szakmaszorzók!$B$2:$D$25,3,0)))</f>
        <v>2.2000000000000002</v>
      </c>
      <c r="K22" s="320">
        <f>'Támogatás szorzat tényezői'!$C$2*'Támogatás szorzat tényezői'!$C$5*J22*(H22/1000)</f>
        <v>126720.00000000001</v>
      </c>
      <c r="L22" s="300"/>
      <c r="M22" s="319">
        <f t="shared" si="0"/>
        <v>8</v>
      </c>
    </row>
    <row r="23" spans="1:13" ht="15.75" hidden="1" customHeight="1" x14ac:dyDescent="0.25">
      <c r="A23" s="319">
        <v>347</v>
      </c>
      <c r="B23" s="298" t="s">
        <v>3108</v>
      </c>
      <c r="C23" s="313" t="s">
        <v>1435</v>
      </c>
      <c r="D23" s="317" t="s">
        <v>1362</v>
      </c>
      <c r="E23" s="317" t="s">
        <v>3458</v>
      </c>
      <c r="F23" s="317" t="s">
        <v>3456</v>
      </c>
      <c r="G23" s="299" t="s">
        <v>1351</v>
      </c>
      <c r="H23" s="299">
        <v>100</v>
      </c>
      <c r="I23" s="299">
        <v>150</v>
      </c>
      <c r="J23" s="298">
        <f>IF(OR(G23="ágazaton kívüli",G23="n.a."),2.2,IF(OR(E23=2,E23=3,E23=4),VLOOKUP(G23,Szakmaszorzók!$B$2:$D$25,2,0),VLOOKUP(G23,Szakmaszorzók!$B$2:$D$25,3,0)))</f>
        <v>2.2000000000000002</v>
      </c>
      <c r="K23" s="320">
        <f>'Támogatás szorzat tényezői'!$C$2*'Támogatás szorzat tényezői'!$C$5*J23*(H23/1000)</f>
        <v>79200.000000000015</v>
      </c>
      <c r="L23" s="300"/>
      <c r="M23" s="319">
        <f t="shared" si="0"/>
        <v>8</v>
      </c>
    </row>
    <row r="24" spans="1:13" ht="15.75" hidden="1" customHeight="1" x14ac:dyDescent="0.25">
      <c r="A24" s="319">
        <v>348</v>
      </c>
      <c r="B24" s="298" t="s">
        <v>3724</v>
      </c>
      <c r="C24" s="313" t="s">
        <v>1634</v>
      </c>
      <c r="D24" s="317" t="s">
        <v>1362</v>
      </c>
      <c r="E24" s="317" t="s">
        <v>3455</v>
      </c>
      <c r="F24" s="317" t="s">
        <v>3467</v>
      </c>
      <c r="G24" s="299" t="s">
        <v>1351</v>
      </c>
      <c r="H24" s="299">
        <v>880</v>
      </c>
      <c r="I24" s="299">
        <v>1320</v>
      </c>
      <c r="J24" s="298">
        <f>IF(OR(G24="ágazaton kívüli",G24="n.a."),2.2,IF(OR(E24=2,E24=3,E24=4),VLOOKUP(G24,Szakmaszorzók!$B$2:$D$25,2,0),VLOOKUP(G24,Szakmaszorzók!$B$2:$D$25,3,0)))</f>
        <v>2.2000000000000002</v>
      </c>
      <c r="K24" s="320">
        <f>'Támogatás szorzat tényezői'!$C$2*'Támogatás szorzat tényezői'!$C$5*J24*(H24/1000)</f>
        <v>696960.00000000012</v>
      </c>
      <c r="L24" s="300"/>
      <c r="M24" s="319">
        <f t="shared" si="0"/>
        <v>8</v>
      </c>
    </row>
    <row r="25" spans="1:13" ht="15.75" hidden="1" customHeight="1" x14ac:dyDescent="0.25">
      <c r="A25" s="319">
        <v>139</v>
      </c>
      <c r="B25" s="298" t="s">
        <v>65</v>
      </c>
      <c r="C25" s="313" t="s">
        <v>1436</v>
      </c>
      <c r="D25" s="317" t="s">
        <v>1332</v>
      </c>
      <c r="E25" s="317" t="s">
        <v>3455</v>
      </c>
      <c r="F25" s="317" t="s">
        <v>3456</v>
      </c>
      <c r="G25" s="299" t="s">
        <v>1316</v>
      </c>
      <c r="H25" s="299">
        <v>640</v>
      </c>
      <c r="I25" s="299">
        <v>960</v>
      </c>
      <c r="J25" s="298">
        <f>IF(OR(G25="ágazaton kívüli",G25="n.a."),2.2,IF(OR(E25=2,E25=3,E25=4),VLOOKUP(G25,Szakmaszorzók!$B$2:$D$25,2,0),VLOOKUP(G25,Szakmaszorzók!$B$2:$D$25,3,0)))</f>
        <v>2.85</v>
      </c>
      <c r="K25" s="320">
        <f>'Támogatás szorzat tényezői'!$C$2*'Támogatás szorzat tényezői'!$C$5*J25*(H25/1000)</f>
        <v>656640</v>
      </c>
      <c r="L25" s="300"/>
      <c r="M25" s="319">
        <f t="shared" si="0"/>
        <v>8</v>
      </c>
    </row>
    <row r="26" spans="1:13" ht="15.75" hidden="1" customHeight="1" x14ac:dyDescent="0.25">
      <c r="A26" s="319">
        <v>59</v>
      </c>
      <c r="B26" s="298" t="s">
        <v>2895</v>
      </c>
      <c r="C26" s="313" t="s">
        <v>2781</v>
      </c>
      <c r="D26" s="317" t="s">
        <v>1972</v>
      </c>
      <c r="E26" s="317" t="s">
        <v>3458</v>
      </c>
      <c r="F26" s="317" t="s">
        <v>3456</v>
      </c>
      <c r="G26" s="299" t="s">
        <v>1285</v>
      </c>
      <c r="H26" s="299">
        <v>300</v>
      </c>
      <c r="I26" s="299">
        <v>330</v>
      </c>
      <c r="J26" s="298">
        <f>IF(OR(G26="ágazaton kívüli",G26="n.a."),2.2,IF(OR(E26=2,E26=3,E26=4),VLOOKUP(G26,Szakmaszorzók!$B$2:$D$25,2,0),VLOOKUP(G26,Szakmaszorzók!$B$2:$D$25,3,0)))</f>
        <v>2.2000000000000002</v>
      </c>
      <c r="K26" s="320">
        <f>'Támogatás szorzat tényezői'!$C$2*'Támogatás szorzat tényezői'!$C$5*J26*(H26/1000)</f>
        <v>237600.00000000003</v>
      </c>
      <c r="L26" s="300"/>
      <c r="M26" s="319">
        <f t="shared" si="0"/>
        <v>8</v>
      </c>
    </row>
    <row r="27" spans="1:13" ht="15.75" hidden="1" customHeight="1" x14ac:dyDescent="0.25">
      <c r="A27" s="319">
        <v>4</v>
      </c>
      <c r="B27" s="298" t="s">
        <v>2883</v>
      </c>
      <c r="C27" s="314" t="s">
        <v>2884</v>
      </c>
      <c r="D27" s="317" t="s">
        <v>1302</v>
      </c>
      <c r="E27" s="317" t="s">
        <v>3458</v>
      </c>
      <c r="F27" s="317" t="s">
        <v>3460</v>
      </c>
      <c r="G27" s="7" t="s">
        <v>1301</v>
      </c>
      <c r="H27" s="7">
        <v>380</v>
      </c>
      <c r="I27" s="7">
        <v>400</v>
      </c>
      <c r="J27" s="298">
        <f>IF(OR(G27="ágazaton kívüli",G27="n.a."),2.2,IF(OR(E27=2,E27=3,E27=4),VLOOKUP(G27,Szakmaszorzók!$B$2:$D$25,2,0),VLOOKUP(G27,Szakmaszorzók!$B$2:$D$25,3,0)))</f>
        <v>2.85</v>
      </c>
      <c r="K27" s="320">
        <f>'Támogatás szorzat tényezői'!$C$2*'Támogatás szorzat tényezői'!$C$5*J27*(H27/1000)</f>
        <v>389880</v>
      </c>
      <c r="L27" s="301"/>
      <c r="M27" s="319">
        <f t="shared" si="0"/>
        <v>8</v>
      </c>
    </row>
    <row r="28" spans="1:13" ht="15.75" hidden="1" customHeight="1" x14ac:dyDescent="0.25">
      <c r="A28" s="319">
        <v>140</v>
      </c>
      <c r="B28" s="298" t="s">
        <v>67</v>
      </c>
      <c r="C28" s="313" t="s">
        <v>1692</v>
      </c>
      <c r="D28" s="317" t="s">
        <v>1691</v>
      </c>
      <c r="E28" s="317" t="s">
        <v>3459</v>
      </c>
      <c r="F28" s="317" t="s">
        <v>3456</v>
      </c>
      <c r="G28" s="299" t="s">
        <v>1316</v>
      </c>
      <c r="H28" s="299">
        <v>320</v>
      </c>
      <c r="I28" s="299">
        <v>480</v>
      </c>
      <c r="J28" s="298">
        <f>IF(OR(G28="ágazaton kívüli",G28="n.a."),2.2,IF(OR(E28=2,E28=3,E28=4),VLOOKUP(G28,Szakmaszorzók!$B$2:$D$25,2,0),VLOOKUP(G28,Szakmaszorzók!$B$2:$D$25,3,0)))</f>
        <v>2.85</v>
      </c>
      <c r="K28" s="320">
        <f>'Támogatás szorzat tényezői'!$C$2*'Támogatás szorzat tényezői'!$C$5*J28*(H28/1000)</f>
        <v>328320</v>
      </c>
      <c r="L28" s="300"/>
      <c r="M28" s="319">
        <f t="shared" si="0"/>
        <v>8</v>
      </c>
    </row>
    <row r="29" spans="1:13" ht="15.75" hidden="1" customHeight="1" x14ac:dyDescent="0.25">
      <c r="A29" s="319">
        <v>349</v>
      </c>
      <c r="B29" s="298" t="s">
        <v>3118</v>
      </c>
      <c r="C29" s="313" t="s">
        <v>2803</v>
      </c>
      <c r="D29" s="317" t="s">
        <v>3723</v>
      </c>
      <c r="E29" s="317" t="s">
        <v>3459</v>
      </c>
      <c r="F29" s="317" t="s">
        <v>3464</v>
      </c>
      <c r="G29" s="299" t="s">
        <v>1389</v>
      </c>
      <c r="H29" s="299">
        <v>220</v>
      </c>
      <c r="I29" s="299">
        <v>340</v>
      </c>
      <c r="J29" s="298">
        <f>IF(OR(G29="ágazaton kívüli",G29="n.a."),2.2,IF(OR(E29=2,E29=3,E29=4),VLOOKUP(G29,Szakmaszorzók!$B$2:$D$25,2,0),VLOOKUP(G29,Szakmaszorzók!$B$2:$D$25,3,0)))</f>
        <v>2.2000000000000002</v>
      </c>
      <c r="K29" s="320">
        <f>'Támogatás szorzat tényezői'!$C$2*'Támogatás szorzat tényezői'!$C$5*J29*(H29/1000)</f>
        <v>174240.00000000003</v>
      </c>
      <c r="L29" s="300"/>
      <c r="M29" s="319">
        <f t="shared" si="0"/>
        <v>8</v>
      </c>
    </row>
    <row r="30" spans="1:13" ht="15.75" hidden="1" customHeight="1" x14ac:dyDescent="0.25">
      <c r="A30" s="319">
        <v>60</v>
      </c>
      <c r="B30" s="298" t="s">
        <v>3511</v>
      </c>
      <c r="C30" s="313" t="s">
        <v>2783</v>
      </c>
      <c r="D30" s="317" t="s">
        <v>1971</v>
      </c>
      <c r="E30" s="317" t="s">
        <v>3459</v>
      </c>
      <c r="F30" s="317" t="s">
        <v>3456</v>
      </c>
      <c r="G30" s="299" t="s">
        <v>1285</v>
      </c>
      <c r="H30" s="299">
        <v>600</v>
      </c>
      <c r="I30" s="299">
        <v>660</v>
      </c>
      <c r="J30" s="298">
        <f>IF(OR(G30="ágazaton kívüli",G30="n.a."),2.2,IF(OR(E30=2,E30=3,E30=4),VLOOKUP(G30,Szakmaszorzók!$B$2:$D$25,2,0),VLOOKUP(G30,Szakmaszorzók!$B$2:$D$25,3,0)))</f>
        <v>2.2000000000000002</v>
      </c>
      <c r="K30" s="320">
        <f>'Támogatás szorzat tényezői'!$C$2*'Támogatás szorzat tényezői'!$C$5*J30*(H30/1000)</f>
        <v>475200.00000000006</v>
      </c>
      <c r="L30" s="300"/>
      <c r="M30" s="319">
        <f t="shared" si="0"/>
        <v>8</v>
      </c>
    </row>
    <row r="31" spans="1:13" ht="15.75" hidden="1" customHeight="1" x14ac:dyDescent="0.25">
      <c r="A31" s="319">
        <v>166</v>
      </c>
      <c r="B31" s="298" t="s">
        <v>71</v>
      </c>
      <c r="C31" s="314" t="s">
        <v>2998</v>
      </c>
      <c r="D31" s="317" t="s">
        <v>1360</v>
      </c>
      <c r="E31" s="317" t="s">
        <v>3455</v>
      </c>
      <c r="F31" s="317" t="s">
        <v>3571</v>
      </c>
      <c r="G31" s="308" t="s">
        <v>1883</v>
      </c>
      <c r="H31" s="304">
        <v>480</v>
      </c>
      <c r="I31" s="304">
        <v>720</v>
      </c>
      <c r="J31" s="298">
        <f>IF(OR(G31="ágazaton kívüli",G31="n.a."),2.2,IF(OR(E31=2,E31=3,E31=4),VLOOKUP(G31,Szakmaszorzók!$B$2:$D$25,2,0),VLOOKUP(G31,Szakmaszorzók!$B$2:$D$25,3,0)))</f>
        <v>2.2000000000000002</v>
      </c>
      <c r="K31" s="320">
        <f>'Támogatás szorzat tényezői'!$C$2*'Támogatás szorzat tényezői'!$C$5*J31*(H31/1000)</f>
        <v>380160.00000000006</v>
      </c>
      <c r="L31" s="301"/>
      <c r="M31" s="319">
        <f t="shared" si="0"/>
        <v>8</v>
      </c>
    </row>
    <row r="32" spans="1:13" ht="15.75" hidden="1" customHeight="1" x14ac:dyDescent="0.25">
      <c r="A32" s="319">
        <v>350</v>
      </c>
      <c r="B32" s="298" t="s">
        <v>3114</v>
      </c>
      <c r="C32" s="313" t="s">
        <v>1437</v>
      </c>
      <c r="D32" s="317" t="s">
        <v>1362</v>
      </c>
      <c r="E32" s="317" t="s">
        <v>3459</v>
      </c>
      <c r="F32" s="317" t="s">
        <v>3483</v>
      </c>
      <c r="G32" s="299" t="s">
        <v>1351</v>
      </c>
      <c r="H32" s="299">
        <v>200</v>
      </c>
      <c r="I32" s="299">
        <v>300</v>
      </c>
      <c r="J32" s="298">
        <f>IF(OR(G32="ágazaton kívüli",G32="n.a."),2.2,IF(OR(E32=2,E32=3,E32=4),VLOOKUP(G32,Szakmaszorzók!$B$2:$D$25,2,0),VLOOKUP(G32,Szakmaszorzók!$B$2:$D$25,3,0)))</f>
        <v>2.2000000000000002</v>
      </c>
      <c r="K32" s="320">
        <f>'Támogatás szorzat tényezői'!$C$2*'Támogatás szorzat tényezői'!$C$5*J32*(H32/1000)</f>
        <v>158400.00000000003</v>
      </c>
      <c r="L32" s="300"/>
      <c r="M32" s="319">
        <f t="shared" si="0"/>
        <v>8</v>
      </c>
    </row>
    <row r="33" spans="1:13" ht="15.75" hidden="1" customHeight="1" x14ac:dyDescent="0.25">
      <c r="A33" s="319">
        <v>351</v>
      </c>
      <c r="B33" s="298" t="s">
        <v>3725</v>
      </c>
      <c r="C33" s="313" t="s">
        <v>1438</v>
      </c>
      <c r="D33" s="317" t="s">
        <v>1362</v>
      </c>
      <c r="E33" s="317" t="s">
        <v>3458</v>
      </c>
      <c r="F33" s="317" t="s">
        <v>3461</v>
      </c>
      <c r="G33" s="299" t="s">
        <v>1351</v>
      </c>
      <c r="H33" s="299">
        <v>100</v>
      </c>
      <c r="I33" s="299">
        <v>150</v>
      </c>
      <c r="J33" s="298">
        <f>IF(OR(G33="ágazaton kívüli",G33="n.a."),2.2,IF(OR(E33=2,E33=3,E33=4),VLOOKUP(G33,Szakmaszorzók!$B$2:$D$25,2,0),VLOOKUP(G33,Szakmaszorzók!$B$2:$D$25,3,0)))</f>
        <v>2.2000000000000002</v>
      </c>
      <c r="K33" s="320">
        <f>'Támogatás szorzat tényezői'!$C$2*'Támogatás szorzat tényezői'!$C$5*J33*(H33/1000)</f>
        <v>79200.000000000015</v>
      </c>
      <c r="L33" s="300"/>
      <c r="M33" s="319">
        <f t="shared" si="0"/>
        <v>8</v>
      </c>
    </row>
    <row r="34" spans="1:13" ht="15.75" hidden="1" customHeight="1" x14ac:dyDescent="0.25">
      <c r="A34" s="319">
        <v>88</v>
      </c>
      <c r="B34" s="298" t="s">
        <v>2921</v>
      </c>
      <c r="C34" s="313" t="s">
        <v>1439</v>
      </c>
      <c r="D34" s="317" t="s">
        <v>1281</v>
      </c>
      <c r="E34" s="317" t="s">
        <v>3455</v>
      </c>
      <c r="F34" s="317" t="s">
        <v>3484</v>
      </c>
      <c r="G34" s="299" t="s">
        <v>1289</v>
      </c>
      <c r="H34" s="299">
        <v>1010</v>
      </c>
      <c r="I34" s="299">
        <v>1200</v>
      </c>
      <c r="J34" s="298">
        <f>IF(OR(G34="ágazaton kívüli",G34="n.a."),2.2,IF(OR(E34=2,E34=3,E34=4),VLOOKUP(G34,Szakmaszorzók!$B$2:$D$25,2,0),VLOOKUP(G34,Szakmaszorzók!$B$2:$D$25,3,0)))</f>
        <v>2.42</v>
      </c>
      <c r="K34" s="320">
        <f>'Támogatás szorzat tényezői'!$C$2*'Támogatás szorzat tényezői'!$C$5*J34*(H34/1000)</f>
        <v>879912</v>
      </c>
      <c r="L34" s="300"/>
      <c r="M34" s="319">
        <f t="shared" si="0"/>
        <v>8</v>
      </c>
    </row>
    <row r="35" spans="1:13" ht="15.75" hidden="1" customHeight="1" x14ac:dyDescent="0.25">
      <c r="A35" s="319">
        <v>378</v>
      </c>
      <c r="B35" s="298" t="s">
        <v>3198</v>
      </c>
      <c r="C35" s="313" t="s">
        <v>3199</v>
      </c>
      <c r="D35" s="317" t="s">
        <v>3739</v>
      </c>
      <c r="E35" s="317" t="s">
        <v>3455</v>
      </c>
      <c r="F35" s="317" t="s">
        <v>3472</v>
      </c>
      <c r="G35" s="299" t="s">
        <v>1373</v>
      </c>
      <c r="H35" s="299">
        <v>120</v>
      </c>
      <c r="I35" s="299">
        <v>160</v>
      </c>
      <c r="J35" s="298">
        <f>IF(OR(G35="ágazaton kívüli",G35="n.a."),2.2,IF(OR(E35=2,E35=3,E35=4),VLOOKUP(G35,Szakmaszorzók!$B$2:$D$25,2,0),VLOOKUP(G35,Szakmaszorzók!$B$2:$D$25,3,0)))</f>
        <v>2.2000000000000002</v>
      </c>
      <c r="K35" s="320">
        <f>'Támogatás szorzat tényezői'!$C$2*'Támogatás szorzat tényezői'!$C$5*J35*(H35/1000)</f>
        <v>95040.000000000015</v>
      </c>
      <c r="L35" s="300"/>
      <c r="M35" s="319">
        <f t="shared" si="0"/>
        <v>8</v>
      </c>
    </row>
    <row r="36" spans="1:13" ht="15.75" hidden="1" customHeight="1" x14ac:dyDescent="0.25">
      <c r="A36" s="319">
        <v>379</v>
      </c>
      <c r="B36" s="298" t="s">
        <v>3162</v>
      </c>
      <c r="C36" s="313" t="s">
        <v>3163</v>
      </c>
      <c r="D36" s="317" t="s">
        <v>3739</v>
      </c>
      <c r="E36" s="317" t="s">
        <v>3458</v>
      </c>
      <c r="F36" s="317" t="s">
        <v>3460</v>
      </c>
      <c r="G36" s="7" t="s">
        <v>1373</v>
      </c>
      <c r="H36" s="296">
        <v>310</v>
      </c>
      <c r="I36" s="296">
        <v>455</v>
      </c>
      <c r="J36" s="298">
        <f>IF(OR(G36="ágazaton kívüli",G36="n.a."),2.2,IF(OR(E36=2,E36=3,E36=4),VLOOKUP(G36,Szakmaszorzók!$B$2:$D$25,2,0),VLOOKUP(G36,Szakmaszorzók!$B$2:$D$25,3,0)))</f>
        <v>2.2000000000000002</v>
      </c>
      <c r="K36" s="320">
        <f>'Támogatás szorzat tényezői'!$C$2*'Támogatás szorzat tényezői'!$C$5*J36*(H36/1000)</f>
        <v>245520.00000000003</v>
      </c>
      <c r="L36" s="300"/>
      <c r="M36" s="319">
        <f t="shared" si="0"/>
        <v>8</v>
      </c>
    </row>
    <row r="37" spans="1:13" ht="15.75" hidden="1" customHeight="1" x14ac:dyDescent="0.25">
      <c r="A37" s="319">
        <v>380</v>
      </c>
      <c r="B37" s="298" t="s">
        <v>3740</v>
      </c>
      <c r="C37" s="313" t="s">
        <v>3191</v>
      </c>
      <c r="D37" s="317" t="s">
        <v>3739</v>
      </c>
      <c r="E37" s="317" t="s">
        <v>3455</v>
      </c>
      <c r="F37" s="317" t="s">
        <v>3456</v>
      </c>
      <c r="G37" s="299" t="s">
        <v>1373</v>
      </c>
      <c r="H37" s="299">
        <v>120</v>
      </c>
      <c r="I37" s="299">
        <v>160</v>
      </c>
      <c r="J37" s="298">
        <f>IF(OR(G37="ágazaton kívüli",G37="n.a."),2.2,IF(OR(E37=2,E37=3,E37=4),VLOOKUP(G37,Szakmaszorzók!$B$2:$D$25,2,0),VLOOKUP(G37,Szakmaszorzók!$B$2:$D$25,3,0)))</f>
        <v>2.2000000000000002</v>
      </c>
      <c r="K37" s="320">
        <f>'Támogatás szorzat tényezői'!$C$2*'Támogatás szorzat tényezői'!$C$5*J37*(H37/1000)</f>
        <v>95040.000000000015</v>
      </c>
      <c r="L37" s="300"/>
      <c r="M37" s="319">
        <f t="shared" si="0"/>
        <v>8</v>
      </c>
    </row>
    <row r="38" spans="1:13" ht="15.75" hidden="1" customHeight="1" x14ac:dyDescent="0.25">
      <c r="A38" s="319">
        <v>381</v>
      </c>
      <c r="B38" s="298" t="s">
        <v>3196</v>
      </c>
      <c r="C38" s="313" t="s">
        <v>3197</v>
      </c>
      <c r="D38" s="317" t="s">
        <v>3739</v>
      </c>
      <c r="E38" s="317" t="s">
        <v>3455</v>
      </c>
      <c r="F38" s="317" t="s">
        <v>3477</v>
      </c>
      <c r="G38" s="299" t="s">
        <v>1373</v>
      </c>
      <c r="H38" s="299">
        <v>120</v>
      </c>
      <c r="I38" s="299">
        <v>160</v>
      </c>
      <c r="J38" s="298">
        <f>IF(OR(G38="ágazaton kívüli",G38="n.a."),2.2,IF(OR(E38=2,E38=3,E38=4),VLOOKUP(G38,Szakmaszorzók!$B$2:$D$25,2,0),VLOOKUP(G38,Szakmaszorzók!$B$2:$D$25,3,0)))</f>
        <v>2.2000000000000002</v>
      </c>
      <c r="K38" s="320">
        <f>'Támogatás szorzat tényezői'!$C$2*'Támogatás szorzat tényezői'!$C$5*J38*(H38/1000)</f>
        <v>95040.000000000015</v>
      </c>
      <c r="L38" s="300"/>
      <c r="M38" s="319">
        <f t="shared" si="0"/>
        <v>8</v>
      </c>
    </row>
    <row r="39" spans="1:13" ht="15.75" hidden="1" customHeight="1" x14ac:dyDescent="0.25">
      <c r="A39" s="319">
        <v>382</v>
      </c>
      <c r="B39" s="298" t="s">
        <v>3194</v>
      </c>
      <c r="C39" s="313" t="s">
        <v>3195</v>
      </c>
      <c r="D39" s="317" t="s">
        <v>3739</v>
      </c>
      <c r="E39" s="317" t="s">
        <v>3455</v>
      </c>
      <c r="F39" s="317" t="s">
        <v>3473</v>
      </c>
      <c r="G39" s="299" t="s">
        <v>1373</v>
      </c>
      <c r="H39" s="299">
        <v>120</v>
      </c>
      <c r="I39" s="299">
        <v>160</v>
      </c>
      <c r="J39" s="298">
        <f>IF(OR(G39="ágazaton kívüli",G39="n.a."),2.2,IF(OR(E39=2,E39=3,E39=4),VLOOKUP(G39,Szakmaszorzók!$B$2:$D$25,2,0),VLOOKUP(G39,Szakmaszorzók!$B$2:$D$25,3,0)))</f>
        <v>2.2000000000000002</v>
      </c>
      <c r="K39" s="320">
        <f>'Támogatás szorzat tényezői'!$C$2*'Támogatás szorzat tényezői'!$C$5*J39*(H39/1000)</f>
        <v>95040.000000000015</v>
      </c>
      <c r="L39" s="300"/>
      <c r="M39" s="319">
        <f t="shared" si="0"/>
        <v>8</v>
      </c>
    </row>
    <row r="40" spans="1:13" ht="15.75" hidden="1" customHeight="1" x14ac:dyDescent="0.25">
      <c r="A40" s="319">
        <v>383</v>
      </c>
      <c r="B40" s="298" t="s">
        <v>3741</v>
      </c>
      <c r="C40" s="313" t="s">
        <v>3203</v>
      </c>
      <c r="D40" s="317" t="s">
        <v>3739</v>
      </c>
      <c r="E40" s="317" t="s">
        <v>3732</v>
      </c>
      <c r="F40" s="317" t="s">
        <v>3471</v>
      </c>
      <c r="G40" s="299" t="s">
        <v>1373</v>
      </c>
      <c r="H40" s="299">
        <v>390</v>
      </c>
      <c r="I40" s="299">
        <v>520</v>
      </c>
      <c r="J40" s="298">
        <f>IF(OR(G40="ágazaton kívüli",G40="n.a."),2.2,IF(OR(E40=2,E40=3,E40=4),VLOOKUP(G40,Szakmaszorzók!$B$2:$D$25,2,0),VLOOKUP(G40,Szakmaszorzók!$B$2:$D$25,3,0)))</f>
        <v>2.2000000000000002</v>
      </c>
      <c r="K40" s="320">
        <f>'Támogatás szorzat tényezői'!$C$2*'Támogatás szorzat tényezői'!$C$5*J40*(H40/1000)</f>
        <v>308880.00000000006</v>
      </c>
      <c r="L40" s="300"/>
      <c r="M40" s="319">
        <f t="shared" si="0"/>
        <v>8</v>
      </c>
    </row>
    <row r="41" spans="1:13" ht="15.75" hidden="1" customHeight="1" x14ac:dyDescent="0.25">
      <c r="A41" s="319">
        <v>89</v>
      </c>
      <c r="B41" s="298" t="s">
        <v>3528</v>
      </c>
      <c r="C41" s="313" t="s">
        <v>1440</v>
      </c>
      <c r="D41" s="317" t="s">
        <v>1299</v>
      </c>
      <c r="E41" s="317" t="s">
        <v>3458</v>
      </c>
      <c r="F41" s="317" t="s">
        <v>3456</v>
      </c>
      <c r="G41" s="299" t="s">
        <v>1298</v>
      </c>
      <c r="H41" s="299">
        <v>600</v>
      </c>
      <c r="I41" s="299">
        <v>800</v>
      </c>
      <c r="J41" s="298">
        <f>IF(OR(G41="ágazaton kívüli",G41="n.a."),2.2,IF(OR(E41=2,E41=3,E41=4),VLOOKUP(G41,Szakmaszorzók!$B$2:$D$25,2,0),VLOOKUP(G41,Szakmaszorzók!$B$2:$D$25,3,0)))</f>
        <v>2.42</v>
      </c>
      <c r="K41" s="320">
        <f>'Támogatás szorzat tényezői'!$C$2*'Támogatás szorzat tényezői'!$C$5*J41*(H41/1000)</f>
        <v>522720</v>
      </c>
      <c r="L41" s="300"/>
      <c r="M41" s="319">
        <f t="shared" si="0"/>
        <v>8</v>
      </c>
    </row>
    <row r="42" spans="1:13" ht="15.75" hidden="1" customHeight="1" x14ac:dyDescent="0.25">
      <c r="A42" s="319">
        <v>5</v>
      </c>
      <c r="B42" s="298" t="s">
        <v>2880</v>
      </c>
      <c r="C42" s="313" t="s">
        <v>2779</v>
      </c>
      <c r="D42" s="317" t="s">
        <v>1302</v>
      </c>
      <c r="E42" s="317" t="s">
        <v>3458</v>
      </c>
      <c r="F42" s="317" t="s">
        <v>3461</v>
      </c>
      <c r="G42" s="299" t="s">
        <v>1301</v>
      </c>
      <c r="H42" s="299">
        <v>450</v>
      </c>
      <c r="I42" s="299">
        <v>600</v>
      </c>
      <c r="J42" s="298">
        <f>IF(OR(G42="ágazaton kívüli",G42="n.a."),2.2,IF(OR(E42=2,E42=3,E42=4),VLOOKUP(G42,Szakmaszorzók!$B$2:$D$25,2,0),VLOOKUP(G42,Szakmaszorzók!$B$2:$D$25,3,0)))</f>
        <v>2.85</v>
      </c>
      <c r="K42" s="320">
        <f>'Támogatás szorzat tényezői'!$C$2*'Támogatás szorzat tényezői'!$C$5*J42*(H42/1000)</f>
        <v>461700</v>
      </c>
      <c r="L42" s="300"/>
      <c r="M42" s="319">
        <f t="shared" si="0"/>
        <v>8</v>
      </c>
    </row>
    <row r="43" spans="1:13" ht="15.75" hidden="1" customHeight="1" x14ac:dyDescent="0.25">
      <c r="A43" s="319">
        <v>335</v>
      </c>
      <c r="B43" s="298" t="s">
        <v>3092</v>
      </c>
      <c r="C43" s="313" t="s">
        <v>1707</v>
      </c>
      <c r="D43" s="317" t="s">
        <v>3714</v>
      </c>
      <c r="E43" s="317" t="s">
        <v>3458</v>
      </c>
      <c r="F43" s="317" t="s">
        <v>3456</v>
      </c>
      <c r="G43" s="299" t="s">
        <v>1316</v>
      </c>
      <c r="H43" s="299">
        <v>320</v>
      </c>
      <c r="I43" s="299">
        <v>550</v>
      </c>
      <c r="J43" s="298">
        <f>IF(OR(G43="ágazaton kívüli",G43="n.a."),2.2,IF(OR(E43=2,E43=3,E43=4),VLOOKUP(G43,Szakmaszorzók!$B$2:$D$25,2,0),VLOOKUP(G43,Szakmaszorzók!$B$2:$D$25,3,0)))</f>
        <v>2.85</v>
      </c>
      <c r="K43" s="320">
        <f>'Támogatás szorzat tényezői'!$C$2*'Támogatás szorzat tényezői'!$C$5*J43*(H43/1000)</f>
        <v>328320</v>
      </c>
      <c r="L43" s="300"/>
      <c r="M43" s="319">
        <f t="shared" si="0"/>
        <v>8</v>
      </c>
    </row>
    <row r="44" spans="1:13" ht="15.75" hidden="1" customHeight="1" x14ac:dyDescent="0.25">
      <c r="A44" s="319">
        <v>90</v>
      </c>
      <c r="B44" s="298" t="s">
        <v>2923</v>
      </c>
      <c r="C44" s="313" t="s">
        <v>1441</v>
      </c>
      <c r="D44" s="317" t="s">
        <v>1299</v>
      </c>
      <c r="E44" s="317" t="s">
        <v>3459</v>
      </c>
      <c r="F44" s="317" t="s">
        <v>3464</v>
      </c>
      <c r="G44" s="299" t="s">
        <v>1298</v>
      </c>
      <c r="H44" s="299">
        <v>800</v>
      </c>
      <c r="I44" s="299">
        <v>1200</v>
      </c>
      <c r="J44" s="298">
        <f>IF(OR(G44="ágazaton kívüli",G44="n.a."),2.2,IF(OR(E44=2,E44=3,E44=4),VLOOKUP(G44,Szakmaszorzók!$B$2:$D$25,2,0),VLOOKUP(G44,Szakmaszorzók!$B$2:$D$25,3,0)))</f>
        <v>2.42</v>
      </c>
      <c r="K44" s="320">
        <f>'Támogatás szorzat tényezői'!$C$2*'Támogatás szorzat tényezői'!$C$5*J44*(H44/1000)</f>
        <v>696960</v>
      </c>
      <c r="L44" s="300"/>
      <c r="M44" s="319">
        <f t="shared" si="0"/>
        <v>8</v>
      </c>
    </row>
    <row r="45" spans="1:13" ht="15.75" hidden="1" customHeight="1" x14ac:dyDescent="0.25">
      <c r="A45" s="319">
        <v>301</v>
      </c>
      <c r="B45" s="298" t="s">
        <v>3045</v>
      </c>
      <c r="C45" s="313" t="s">
        <v>3046</v>
      </c>
      <c r="D45" s="317" t="s">
        <v>3699</v>
      </c>
      <c r="E45" s="317" t="s">
        <v>3459</v>
      </c>
      <c r="F45" s="317" t="s">
        <v>3481</v>
      </c>
      <c r="G45" s="299" t="s">
        <v>1325</v>
      </c>
      <c r="H45" s="299">
        <v>200</v>
      </c>
      <c r="I45" s="299">
        <v>250</v>
      </c>
      <c r="J45" s="298">
        <f>IF(OR(G45="ágazaton kívüli",G45="n.a."),2.2,IF(OR(E45=2,E45=3,E45=4),VLOOKUP(G45,Szakmaszorzók!$B$2:$D$25,2,0),VLOOKUP(G45,Szakmaszorzók!$B$2:$D$25,3,0)))</f>
        <v>2.2000000000000002</v>
      </c>
      <c r="K45" s="320">
        <f>'Támogatás szorzat tényezői'!$C$2*'Támogatás szorzat tényezői'!$C$5*J45*(H45/1000)</f>
        <v>158400.00000000003</v>
      </c>
      <c r="L45" s="300"/>
      <c r="M45" s="319">
        <f t="shared" si="0"/>
        <v>8</v>
      </c>
    </row>
    <row r="46" spans="1:13" ht="15.75" hidden="1" customHeight="1" x14ac:dyDescent="0.25">
      <c r="A46" s="319">
        <v>297</v>
      </c>
      <c r="B46" s="298" t="s">
        <v>3034</v>
      </c>
      <c r="C46" s="314" t="s">
        <v>3697</v>
      </c>
      <c r="D46" s="317" t="s">
        <v>3698</v>
      </c>
      <c r="E46" s="317" t="s">
        <v>3458</v>
      </c>
      <c r="F46" s="317" t="s">
        <v>3481</v>
      </c>
      <c r="G46" s="308" t="s">
        <v>1883</v>
      </c>
      <c r="H46" s="304">
        <v>400</v>
      </c>
      <c r="I46" s="304">
        <v>600</v>
      </c>
      <c r="J46" s="298">
        <f>IF(OR(G46="ágazaton kívüli",G46="n.a."),2.2,IF(OR(E46=2,E46=3,E46=4),VLOOKUP(G46,Szakmaszorzók!$B$2:$D$25,2,0),VLOOKUP(G46,Szakmaszorzók!$B$2:$D$25,3,0)))</f>
        <v>2.2000000000000002</v>
      </c>
      <c r="K46" s="320">
        <f>'Támogatás szorzat tényezői'!$C$2*'Támogatás szorzat tényezői'!$C$5*J46*(H46/1000)</f>
        <v>316800.00000000006</v>
      </c>
      <c r="L46" s="300"/>
      <c r="M46" s="319">
        <f t="shared" si="0"/>
        <v>8</v>
      </c>
    </row>
    <row r="47" spans="1:13" ht="15.75" hidden="1" customHeight="1" x14ac:dyDescent="0.25">
      <c r="A47" s="319">
        <v>333</v>
      </c>
      <c r="B47" s="298" t="s">
        <v>93</v>
      </c>
      <c r="C47" s="313" t="s">
        <v>1442</v>
      </c>
      <c r="D47" s="317" t="s">
        <v>3712</v>
      </c>
      <c r="E47" s="317" t="s">
        <v>3459</v>
      </c>
      <c r="F47" s="317" t="s">
        <v>3456</v>
      </c>
      <c r="G47" s="299" t="s">
        <v>1338</v>
      </c>
      <c r="H47" s="299">
        <v>600</v>
      </c>
      <c r="I47" s="299">
        <v>720</v>
      </c>
      <c r="J47" s="298">
        <f>IF(OR(G47="ágazaton kívüli",G47="n.a."),2.2,IF(OR(E47=2,E47=3,E47=4),VLOOKUP(G47,Szakmaszorzók!$B$2:$D$25,2,0),VLOOKUP(G47,Szakmaszorzók!$B$2:$D$25,3,0)))</f>
        <v>2.2000000000000002</v>
      </c>
      <c r="K47" s="320">
        <f>'Támogatás szorzat tényezői'!$C$2*'Támogatás szorzat tényezői'!$C$5*J47*(H47/1000)</f>
        <v>475200.00000000006</v>
      </c>
      <c r="L47" s="300"/>
      <c r="M47" s="319">
        <f t="shared" si="0"/>
        <v>8</v>
      </c>
    </row>
    <row r="48" spans="1:13" ht="15.75" hidden="1" customHeight="1" x14ac:dyDescent="0.25">
      <c r="A48" s="319">
        <v>61</v>
      </c>
      <c r="B48" s="298" t="s">
        <v>1973</v>
      </c>
      <c r="C48" s="314" t="s">
        <v>2898</v>
      </c>
      <c r="D48" s="317" t="s">
        <v>1972</v>
      </c>
      <c r="E48" s="317" t="s">
        <v>3455</v>
      </c>
      <c r="F48" s="317" t="s">
        <v>3505</v>
      </c>
      <c r="G48" s="7" t="s">
        <v>1285</v>
      </c>
      <c r="H48" s="7">
        <v>600</v>
      </c>
      <c r="I48" s="7">
        <v>660</v>
      </c>
      <c r="J48" s="298">
        <f>IF(OR(G48="ágazaton kívüli",G48="n.a."),2.2,IF(OR(E48=2,E48=3,E48=4),VLOOKUP(G48,Szakmaszorzók!$B$2:$D$25,2,0),VLOOKUP(G48,Szakmaszorzók!$B$2:$D$25,3,0)))</f>
        <v>2.2000000000000002</v>
      </c>
      <c r="K48" s="320">
        <f>'Támogatás szorzat tényezői'!$C$2*'Támogatás szorzat tényezői'!$C$5*J48*(H48/1000)</f>
        <v>475200.00000000006</v>
      </c>
      <c r="L48" s="301"/>
      <c r="M48" s="319">
        <f t="shared" si="0"/>
        <v>8</v>
      </c>
    </row>
    <row r="49" spans="1:13" ht="15.75" hidden="1" customHeight="1" x14ac:dyDescent="0.25">
      <c r="A49" s="319">
        <v>62</v>
      </c>
      <c r="B49" s="298" t="s">
        <v>3512</v>
      </c>
      <c r="C49" s="313" t="s">
        <v>1443</v>
      </c>
      <c r="D49" s="317" t="s">
        <v>1329</v>
      </c>
      <c r="E49" s="317" t="s">
        <v>3455</v>
      </c>
      <c r="F49" s="317" t="s">
        <v>3481</v>
      </c>
      <c r="G49" s="299" t="s">
        <v>1328</v>
      </c>
      <c r="H49" s="299">
        <v>160</v>
      </c>
      <c r="I49" s="299">
        <v>172</v>
      </c>
      <c r="J49" s="298">
        <f>IF(OR(G49="ágazaton kívüli",G49="n.a."),2.2,IF(OR(E49=2,E49=3,E49=4),VLOOKUP(G49,Szakmaszorzók!$B$2:$D$25,2,0),VLOOKUP(G49,Szakmaszorzók!$B$2:$D$25,3,0)))</f>
        <v>2.85</v>
      </c>
      <c r="K49" s="320">
        <f>'Támogatás szorzat tényezői'!$C$2*'Támogatás szorzat tényezői'!$C$5*J49*(H49/1000)</f>
        <v>164160</v>
      </c>
      <c r="L49" s="300"/>
      <c r="M49" s="319">
        <f t="shared" si="0"/>
        <v>8</v>
      </c>
    </row>
    <row r="50" spans="1:13" ht="15.75" hidden="1" customHeight="1" x14ac:dyDescent="0.25">
      <c r="A50" s="319">
        <v>91</v>
      </c>
      <c r="B50" s="298" t="s">
        <v>3529</v>
      </c>
      <c r="C50" s="313" t="s">
        <v>1445</v>
      </c>
      <c r="D50" s="317" t="s">
        <v>1281</v>
      </c>
      <c r="E50" s="317" t="s">
        <v>3459</v>
      </c>
      <c r="F50" s="317" t="s">
        <v>3481</v>
      </c>
      <c r="G50" s="299" t="s">
        <v>1298</v>
      </c>
      <c r="H50" s="299">
        <v>480</v>
      </c>
      <c r="I50" s="299">
        <v>600</v>
      </c>
      <c r="J50" s="298">
        <f>IF(OR(G50="ágazaton kívüli",G50="n.a."),2.2,IF(OR(E50=2,E50=3,E50=4),VLOOKUP(G50,Szakmaszorzók!$B$2:$D$25,2,0),VLOOKUP(G50,Szakmaszorzók!$B$2:$D$25,3,0)))</f>
        <v>2.42</v>
      </c>
      <c r="K50" s="320">
        <f>'Támogatás szorzat tényezői'!$C$2*'Támogatás szorzat tényezői'!$C$5*J50*(H50/1000)</f>
        <v>418176</v>
      </c>
      <c r="L50" s="300"/>
      <c r="M50" s="319">
        <f t="shared" si="0"/>
        <v>8</v>
      </c>
    </row>
    <row r="51" spans="1:13" ht="15.75" hidden="1" customHeight="1" x14ac:dyDescent="0.25">
      <c r="A51" s="319">
        <v>167</v>
      </c>
      <c r="B51" s="298" t="s">
        <v>83</v>
      </c>
      <c r="C51" s="314" t="s">
        <v>2999</v>
      </c>
      <c r="D51" s="317" t="s">
        <v>1360</v>
      </c>
      <c r="E51" s="317" t="s">
        <v>3455</v>
      </c>
      <c r="F51" s="317" t="s">
        <v>3572</v>
      </c>
      <c r="G51" s="308" t="s">
        <v>1883</v>
      </c>
      <c r="H51" s="304">
        <v>480</v>
      </c>
      <c r="I51" s="304">
        <v>720</v>
      </c>
      <c r="J51" s="298">
        <f>IF(OR(G51="ágazaton kívüli",G51="n.a."),2.2,IF(OR(E51=2,E51=3,E51=4),VLOOKUP(G51,Szakmaszorzók!$B$2:$D$25,2,0),VLOOKUP(G51,Szakmaszorzók!$B$2:$D$25,3,0)))</f>
        <v>2.2000000000000002</v>
      </c>
      <c r="K51" s="320">
        <f>'Támogatás szorzat tényezői'!$C$2*'Támogatás szorzat tényezői'!$C$5*J51*(H51/1000)</f>
        <v>380160.00000000006</v>
      </c>
      <c r="L51" s="301"/>
      <c r="M51" s="319">
        <f t="shared" si="0"/>
        <v>8</v>
      </c>
    </row>
    <row r="52" spans="1:13" ht="15.75" hidden="1" customHeight="1" x14ac:dyDescent="0.25">
      <c r="A52" s="319">
        <v>75</v>
      </c>
      <c r="B52" s="298" t="s">
        <v>3521</v>
      </c>
      <c r="C52" s="313" t="s">
        <v>1446</v>
      </c>
      <c r="D52" s="317" t="s">
        <v>1283</v>
      </c>
      <c r="E52" s="317" t="s">
        <v>3459</v>
      </c>
      <c r="F52" s="317" t="s">
        <v>3456</v>
      </c>
      <c r="G52" s="299" t="s">
        <v>1282</v>
      </c>
      <c r="H52" s="299">
        <v>316</v>
      </c>
      <c r="I52" s="299">
        <v>408</v>
      </c>
      <c r="J52" s="298">
        <f>IF(OR(G52="ágazaton kívüli",G52="n.a."),2.2,IF(OR(E52=2,E52=3,E52=4),VLOOKUP(G52,Szakmaszorzók!$B$2:$D$25,2,0),VLOOKUP(G52,Szakmaszorzók!$B$2:$D$25,3,0)))</f>
        <v>2.42</v>
      </c>
      <c r="K52" s="320">
        <f>'Támogatás szorzat tényezői'!$C$2*'Támogatás szorzat tényezői'!$C$5*J52*(H52/1000)</f>
        <v>275299.20000000001</v>
      </c>
      <c r="L52" s="300"/>
      <c r="M52" s="319">
        <f t="shared" si="0"/>
        <v>8</v>
      </c>
    </row>
    <row r="53" spans="1:13" ht="15.75" hidden="1" customHeight="1" x14ac:dyDescent="0.25">
      <c r="A53" s="319">
        <v>168</v>
      </c>
      <c r="B53" s="298" t="s">
        <v>2700</v>
      </c>
      <c r="C53" s="313" t="s">
        <v>2790</v>
      </c>
      <c r="D53" s="317" t="s">
        <v>1360</v>
      </c>
      <c r="E53" s="317" t="s">
        <v>3459</v>
      </c>
      <c r="F53" s="317" t="s">
        <v>3492</v>
      </c>
      <c r="G53" s="308" t="s">
        <v>1883</v>
      </c>
      <c r="H53" s="299">
        <v>900</v>
      </c>
      <c r="I53" s="299">
        <v>1200</v>
      </c>
      <c r="J53" s="298">
        <f>IF(OR(G53="ágazaton kívüli",G53="n.a."),2.2,IF(OR(E53=2,E53=3,E53=4),VLOOKUP(G53,Szakmaszorzók!$B$2:$D$25,2,0),VLOOKUP(G53,Szakmaszorzók!$B$2:$D$25,3,0)))</f>
        <v>2.2000000000000002</v>
      </c>
      <c r="K53" s="320">
        <f>'Támogatás szorzat tényezői'!$C$2*'Támogatás szorzat tényezői'!$C$5*J53*(H53/1000)</f>
        <v>712800.00000000012</v>
      </c>
      <c r="L53" s="300"/>
      <c r="M53" s="319">
        <f t="shared" si="0"/>
        <v>8</v>
      </c>
    </row>
    <row r="54" spans="1:13" ht="15.75" hidden="1" customHeight="1" x14ac:dyDescent="0.25">
      <c r="A54" s="319">
        <v>141</v>
      </c>
      <c r="B54" s="298" t="s">
        <v>87</v>
      </c>
      <c r="C54" s="313" t="s">
        <v>1697</v>
      </c>
      <c r="D54" s="317" t="s">
        <v>1696</v>
      </c>
      <c r="E54" s="317" t="s">
        <v>3455</v>
      </c>
      <c r="F54" s="317" t="s">
        <v>3456</v>
      </c>
      <c r="G54" s="299" t="s">
        <v>1316</v>
      </c>
      <c r="H54" s="299">
        <v>800</v>
      </c>
      <c r="I54" s="299">
        <v>1000</v>
      </c>
      <c r="J54" s="298">
        <f>IF(OR(G54="ágazaton kívüli",G54="n.a."),2.2,IF(OR(E54=2,E54=3,E54=4),VLOOKUP(G54,Szakmaszorzók!$B$2:$D$25,2,0),VLOOKUP(G54,Szakmaszorzók!$B$2:$D$25,3,0)))</f>
        <v>2.85</v>
      </c>
      <c r="K54" s="320">
        <f>'Támogatás szorzat tényezői'!$C$2*'Támogatás szorzat tényezői'!$C$5*J54*(H54/1000)</f>
        <v>820800</v>
      </c>
      <c r="L54" s="300"/>
      <c r="M54" s="319">
        <f t="shared" si="0"/>
        <v>8</v>
      </c>
    </row>
    <row r="55" spans="1:13" ht="15.75" hidden="1" customHeight="1" x14ac:dyDescent="0.25">
      <c r="A55" s="319">
        <v>6</v>
      </c>
      <c r="B55" s="298" t="s">
        <v>2619</v>
      </c>
      <c r="C55" s="313" t="s">
        <v>1447</v>
      </c>
      <c r="D55" s="317" t="s">
        <v>1339</v>
      </c>
      <c r="E55" s="317" t="s">
        <v>3455</v>
      </c>
      <c r="F55" s="317" t="s">
        <v>3462</v>
      </c>
      <c r="G55" s="299" t="s">
        <v>1280</v>
      </c>
      <c r="H55" s="299">
        <v>480</v>
      </c>
      <c r="I55" s="299">
        <v>720</v>
      </c>
      <c r="J55" s="298">
        <f>IF(OR(G55="ágazaton kívüli",G55="n.a."),2.2,IF(OR(E55=2,E55=3,E55=4),VLOOKUP(G55,Szakmaszorzók!$B$2:$D$25,2,0),VLOOKUP(G55,Szakmaszorzók!$B$2:$D$25,3,0)))</f>
        <v>2.85</v>
      </c>
      <c r="K55" s="320">
        <f>'Támogatás szorzat tényezői'!$C$2*'Támogatás szorzat tényezői'!$C$5*J55*(H55/1000)</f>
        <v>492480</v>
      </c>
      <c r="L55" s="300"/>
      <c r="M55" s="319">
        <f t="shared" si="0"/>
        <v>8</v>
      </c>
    </row>
    <row r="56" spans="1:13" ht="15.75" hidden="1" customHeight="1" x14ac:dyDescent="0.25">
      <c r="A56" s="319">
        <v>352</v>
      </c>
      <c r="B56" s="298" t="s">
        <v>2511</v>
      </c>
      <c r="C56" s="313" t="s">
        <v>1448</v>
      </c>
      <c r="D56" s="317" t="s">
        <v>1362</v>
      </c>
      <c r="E56" s="317" t="s">
        <v>3458</v>
      </c>
      <c r="F56" s="317" t="s">
        <v>3472</v>
      </c>
      <c r="G56" s="299" t="s">
        <v>1351</v>
      </c>
      <c r="H56" s="299">
        <v>160</v>
      </c>
      <c r="I56" s="299">
        <v>320</v>
      </c>
      <c r="J56" s="298">
        <f>IF(OR(G56="ágazaton kívüli",G56="n.a."),2.2,IF(OR(E56=2,E56=3,E56=4),VLOOKUP(G56,Szakmaszorzók!$B$2:$D$25,2,0),VLOOKUP(G56,Szakmaszorzók!$B$2:$D$25,3,0)))</f>
        <v>2.2000000000000002</v>
      </c>
      <c r="K56" s="320">
        <f>'Támogatás szorzat tényezői'!$C$2*'Támogatás szorzat tényezői'!$C$5*J56*(H56/1000)</f>
        <v>126720.00000000001</v>
      </c>
      <c r="L56" s="300"/>
      <c r="M56" s="319">
        <f t="shared" si="0"/>
        <v>8</v>
      </c>
    </row>
    <row r="57" spans="1:13" ht="15.75" hidden="1" customHeight="1" x14ac:dyDescent="0.25">
      <c r="A57" s="319">
        <v>76</v>
      </c>
      <c r="B57" s="298" t="s">
        <v>2907</v>
      </c>
      <c r="C57" s="313" t="s">
        <v>1449</v>
      </c>
      <c r="D57" s="317" t="s">
        <v>1283</v>
      </c>
      <c r="E57" s="317" t="s">
        <v>3458</v>
      </c>
      <c r="F57" s="317" t="s">
        <v>3462</v>
      </c>
      <c r="G57" s="299" t="s">
        <v>1282</v>
      </c>
      <c r="H57" s="299">
        <v>300</v>
      </c>
      <c r="I57" s="299">
        <v>400</v>
      </c>
      <c r="J57" s="298">
        <f>IF(OR(G57="ágazaton kívüli",G57="n.a."),2.2,IF(OR(E57=2,E57=3,E57=4),VLOOKUP(G57,Szakmaszorzók!$B$2:$D$25,2,0),VLOOKUP(G57,Szakmaszorzók!$B$2:$D$25,3,0)))</f>
        <v>2.42</v>
      </c>
      <c r="K57" s="320">
        <f>'Támogatás szorzat tényezői'!$C$2*'Támogatás szorzat tényezői'!$C$5*J57*(H57/1000)</f>
        <v>261360</v>
      </c>
      <c r="L57" s="300"/>
      <c r="M57" s="319">
        <f t="shared" si="0"/>
        <v>8</v>
      </c>
    </row>
    <row r="58" spans="1:13" ht="15.75" hidden="1" customHeight="1" x14ac:dyDescent="0.25">
      <c r="A58" s="319">
        <v>63</v>
      </c>
      <c r="B58" s="298" t="s">
        <v>3513</v>
      </c>
      <c r="C58" s="313" t="s">
        <v>2902</v>
      </c>
      <c r="D58" s="317" t="s">
        <v>1384</v>
      </c>
      <c r="E58" s="317" t="s">
        <v>3458</v>
      </c>
      <c r="F58" s="317" t="s">
        <v>3505</v>
      </c>
      <c r="G58" s="299" t="s">
        <v>1285</v>
      </c>
      <c r="H58" s="299">
        <v>350</v>
      </c>
      <c r="I58" s="299">
        <v>400</v>
      </c>
      <c r="J58" s="298">
        <f>IF(OR(G58="ágazaton kívüli",G58="n.a."),2.2,IF(OR(E58=2,E58=3,E58=4),VLOOKUP(G58,Szakmaszorzók!$B$2:$D$25,2,0),VLOOKUP(G58,Szakmaszorzók!$B$2:$D$25,3,0)))</f>
        <v>2.2000000000000002</v>
      </c>
      <c r="K58" s="320">
        <f>'Támogatás szorzat tényezői'!$C$2*'Támogatás szorzat tényezői'!$C$5*J58*(H58/1000)</f>
        <v>277200</v>
      </c>
      <c r="L58" s="300"/>
      <c r="M58" s="319">
        <f t="shared" si="0"/>
        <v>8</v>
      </c>
    </row>
    <row r="59" spans="1:13" ht="15.75" hidden="1" customHeight="1" x14ac:dyDescent="0.25">
      <c r="A59" s="319">
        <v>340</v>
      </c>
      <c r="B59" s="298" t="s">
        <v>3717</v>
      </c>
      <c r="C59" s="313" t="s">
        <v>3098</v>
      </c>
      <c r="D59" s="317" t="s">
        <v>3718</v>
      </c>
      <c r="E59" s="317" t="s">
        <v>3459</v>
      </c>
      <c r="F59" s="317" t="s">
        <v>3456</v>
      </c>
      <c r="G59" s="299" t="s">
        <v>1285</v>
      </c>
      <c r="H59" s="299">
        <v>600</v>
      </c>
      <c r="I59" s="299">
        <v>660</v>
      </c>
      <c r="J59" s="298">
        <f>IF(OR(G59="ágazaton kívüli",G59="n.a."),2.2,IF(OR(E59=2,E59=3,E59=4),VLOOKUP(G59,Szakmaszorzók!$B$2:$D$25,2,0),VLOOKUP(G59,Szakmaszorzók!$B$2:$D$25,3,0)))</f>
        <v>2.2000000000000002</v>
      </c>
      <c r="K59" s="320">
        <f>'Támogatás szorzat tényezői'!$C$2*'Támogatás szorzat tényezői'!$C$5*J59*(H59/1000)</f>
        <v>475200.00000000006</v>
      </c>
      <c r="L59" s="300"/>
      <c r="M59" s="319">
        <f t="shared" si="0"/>
        <v>8</v>
      </c>
    </row>
    <row r="60" spans="1:13" ht="15.75" hidden="1" customHeight="1" x14ac:dyDescent="0.25">
      <c r="A60" s="319">
        <v>136</v>
      </c>
      <c r="B60" s="298" t="s">
        <v>2943</v>
      </c>
      <c r="C60" s="313" t="s">
        <v>2944</v>
      </c>
      <c r="D60" s="317" t="s">
        <v>3550</v>
      </c>
      <c r="E60" s="317" t="s">
        <v>3458</v>
      </c>
      <c r="F60" s="317" t="s">
        <v>3464</v>
      </c>
      <c r="G60" s="299" t="s">
        <v>1285</v>
      </c>
      <c r="H60" s="299">
        <v>600</v>
      </c>
      <c r="I60" s="299">
        <v>660</v>
      </c>
      <c r="J60" s="298">
        <f>IF(OR(G60="ágazaton kívüli",G60="n.a."),2.2,IF(OR(E60=2,E60=3,E60=4),VLOOKUP(G60,Szakmaszorzók!$B$2:$D$25,2,0),VLOOKUP(G60,Szakmaszorzók!$B$2:$D$25,3,0)))</f>
        <v>2.2000000000000002</v>
      </c>
      <c r="K60" s="320">
        <f>'Támogatás szorzat tényezői'!$C$2*'Támogatás szorzat tényezői'!$C$5*J60*(H60/1000)</f>
        <v>475200.00000000006</v>
      </c>
      <c r="L60" s="300"/>
      <c r="M60" s="319">
        <f t="shared" si="0"/>
        <v>8</v>
      </c>
    </row>
    <row r="61" spans="1:13" ht="15.75" hidden="1" customHeight="1" x14ac:dyDescent="0.25">
      <c r="A61" s="319">
        <v>169</v>
      </c>
      <c r="B61" s="298" t="s">
        <v>3018</v>
      </c>
      <c r="C61" s="313" t="s">
        <v>1450</v>
      </c>
      <c r="D61" s="317" t="s">
        <v>3564</v>
      </c>
      <c r="E61" s="317" t="s">
        <v>3455</v>
      </c>
      <c r="F61" s="317" t="s">
        <v>3469</v>
      </c>
      <c r="G61" s="308" t="s">
        <v>1883</v>
      </c>
      <c r="H61" s="299">
        <v>620</v>
      </c>
      <c r="I61" s="299">
        <v>1085</v>
      </c>
      <c r="J61" s="298">
        <f>IF(OR(G61="ágazaton kívüli",G61="n.a."),2.2,IF(OR(E61=2,E61=3,E61=4),VLOOKUP(G61,Szakmaszorzók!$B$2:$D$25,2,0),VLOOKUP(G61,Szakmaszorzók!$B$2:$D$25,3,0)))</f>
        <v>2.2000000000000002</v>
      </c>
      <c r="K61" s="320">
        <f>'Támogatás szorzat tényezői'!$C$2*'Támogatás szorzat tényezői'!$C$5*J61*(H61/1000)</f>
        <v>491040.00000000006</v>
      </c>
      <c r="L61" s="300"/>
      <c r="M61" s="319">
        <f t="shared" si="0"/>
        <v>8</v>
      </c>
    </row>
    <row r="62" spans="1:13" ht="15.75" hidden="1" customHeight="1" x14ac:dyDescent="0.25">
      <c r="A62" s="319">
        <v>170</v>
      </c>
      <c r="B62" s="298" t="s">
        <v>3573</v>
      </c>
      <c r="C62" s="313" t="s">
        <v>3019</v>
      </c>
      <c r="D62" s="317" t="s">
        <v>3564</v>
      </c>
      <c r="E62" s="317" t="s">
        <v>3455</v>
      </c>
      <c r="F62" s="317" t="s">
        <v>3467</v>
      </c>
      <c r="G62" s="308" t="s">
        <v>1883</v>
      </c>
      <c r="H62" s="299">
        <v>620</v>
      </c>
      <c r="I62" s="299">
        <v>1085</v>
      </c>
      <c r="J62" s="298">
        <f>IF(OR(G62="ágazaton kívüli",G62="n.a."),2.2,IF(OR(E62=2,E62=3,E62=4),VLOOKUP(G62,Szakmaszorzók!$B$2:$D$25,2,0),VLOOKUP(G62,Szakmaszorzók!$B$2:$D$25,3,0)))</f>
        <v>2.2000000000000002</v>
      </c>
      <c r="K62" s="320">
        <f>'Támogatás szorzat tényezői'!$C$2*'Támogatás szorzat tényezői'!$C$5*J62*(H62/1000)</f>
        <v>491040.00000000006</v>
      </c>
      <c r="L62" s="300"/>
      <c r="M62" s="319">
        <f t="shared" si="0"/>
        <v>8</v>
      </c>
    </row>
    <row r="63" spans="1:13" ht="15.75" hidden="1" customHeight="1" x14ac:dyDescent="0.25">
      <c r="A63" s="319">
        <v>171</v>
      </c>
      <c r="B63" s="298" t="s">
        <v>3574</v>
      </c>
      <c r="C63" s="313" t="s">
        <v>3020</v>
      </c>
      <c r="D63" s="317" t="s">
        <v>3564</v>
      </c>
      <c r="E63" s="317" t="s">
        <v>3455</v>
      </c>
      <c r="F63" s="317" t="s">
        <v>3466</v>
      </c>
      <c r="G63" s="308" t="s">
        <v>1883</v>
      </c>
      <c r="H63" s="299">
        <v>620</v>
      </c>
      <c r="I63" s="299">
        <v>1085</v>
      </c>
      <c r="J63" s="298">
        <f>IF(OR(G63="ágazaton kívüli",G63="n.a."),2.2,IF(OR(E63=2,E63=3,E63=4),VLOOKUP(G63,Szakmaszorzók!$B$2:$D$25,2,0),VLOOKUP(G63,Szakmaszorzók!$B$2:$D$25,3,0)))</f>
        <v>2.2000000000000002</v>
      </c>
      <c r="K63" s="320">
        <f>'Támogatás szorzat tényezői'!$C$2*'Támogatás szorzat tényezői'!$C$5*J63*(H63/1000)</f>
        <v>491040.00000000006</v>
      </c>
      <c r="L63" s="300"/>
      <c r="M63" s="319">
        <f t="shared" si="0"/>
        <v>8</v>
      </c>
    </row>
    <row r="64" spans="1:13" ht="15.75" hidden="1" customHeight="1" x14ac:dyDescent="0.25">
      <c r="A64" s="319">
        <v>172</v>
      </c>
      <c r="B64" s="298" t="s">
        <v>3575</v>
      </c>
      <c r="C64" s="313" t="s">
        <v>1451</v>
      </c>
      <c r="D64" s="317" t="s">
        <v>3564</v>
      </c>
      <c r="E64" s="317" t="s">
        <v>3455</v>
      </c>
      <c r="F64" s="317" t="s">
        <v>3487</v>
      </c>
      <c r="G64" s="308" t="s">
        <v>1883</v>
      </c>
      <c r="H64" s="299">
        <v>620</v>
      </c>
      <c r="I64" s="299">
        <v>1085</v>
      </c>
      <c r="J64" s="298">
        <f>IF(OR(G64="ágazaton kívüli",G64="n.a."),2.2,IF(OR(E64=2,E64=3,E64=4),VLOOKUP(G64,Szakmaszorzók!$B$2:$D$25,2,0),VLOOKUP(G64,Szakmaszorzók!$B$2:$D$25,3,0)))</f>
        <v>2.2000000000000002</v>
      </c>
      <c r="K64" s="320">
        <f>'Támogatás szorzat tényezői'!$C$2*'Támogatás szorzat tényezői'!$C$5*J64*(H64/1000)</f>
        <v>491040.00000000006</v>
      </c>
      <c r="L64" s="300"/>
      <c r="M64" s="319">
        <f t="shared" si="0"/>
        <v>8</v>
      </c>
    </row>
    <row r="65" spans="1:13" ht="15.75" hidden="1" customHeight="1" x14ac:dyDescent="0.25">
      <c r="A65" s="319">
        <v>173</v>
      </c>
      <c r="B65" s="298" t="s">
        <v>3002</v>
      </c>
      <c r="C65" s="313" t="s">
        <v>1452</v>
      </c>
      <c r="D65" s="317" t="s">
        <v>3564</v>
      </c>
      <c r="E65" s="317" t="s">
        <v>3459</v>
      </c>
      <c r="F65" s="317" t="s">
        <v>3483</v>
      </c>
      <c r="G65" s="308" t="s">
        <v>1883</v>
      </c>
      <c r="H65" s="299">
        <v>1700</v>
      </c>
      <c r="I65" s="299">
        <v>2200</v>
      </c>
      <c r="J65" s="298">
        <f>IF(OR(G65="ágazaton kívüli",G65="n.a."),2.2,IF(OR(E65=2,E65=3,E65=4),VLOOKUP(G65,Szakmaszorzók!$B$2:$D$25,2,0),VLOOKUP(G65,Szakmaszorzók!$B$2:$D$25,3,0)))</f>
        <v>2.2000000000000002</v>
      </c>
      <c r="K65" s="320">
        <f>'Támogatás szorzat tényezői'!$C$2*'Támogatás szorzat tényezői'!$C$5*J65*(H65/1000)</f>
        <v>1346400.0000000002</v>
      </c>
      <c r="L65" s="300"/>
      <c r="M65" s="319">
        <f t="shared" si="0"/>
        <v>8</v>
      </c>
    </row>
    <row r="66" spans="1:13" ht="15.75" hidden="1" customHeight="1" x14ac:dyDescent="0.25">
      <c r="A66" s="319">
        <v>174</v>
      </c>
      <c r="B66" s="298" t="s">
        <v>3003</v>
      </c>
      <c r="C66" s="313" t="s">
        <v>1453</v>
      </c>
      <c r="D66" s="317" t="s">
        <v>3564</v>
      </c>
      <c r="E66" s="317" t="s">
        <v>3459</v>
      </c>
      <c r="F66" s="317" t="s">
        <v>3473</v>
      </c>
      <c r="G66" s="308" t="s">
        <v>1883</v>
      </c>
      <c r="H66" s="299">
        <v>1700</v>
      </c>
      <c r="I66" s="299">
        <v>2200</v>
      </c>
      <c r="J66" s="298">
        <f>IF(OR(G66="ágazaton kívüli",G66="n.a."),2.2,IF(OR(E66=2,E66=3,E66=4),VLOOKUP(G66,Szakmaszorzók!$B$2:$D$25,2,0),VLOOKUP(G66,Szakmaszorzók!$B$2:$D$25,3,0)))</f>
        <v>2.2000000000000002</v>
      </c>
      <c r="K66" s="320">
        <f>'Támogatás szorzat tényezői'!$C$2*'Támogatás szorzat tényezői'!$C$5*J66*(H66/1000)</f>
        <v>1346400.0000000002</v>
      </c>
      <c r="L66" s="300"/>
      <c r="M66" s="319">
        <f t="shared" ref="M66:M129" si="1">LEN(C66)</f>
        <v>8</v>
      </c>
    </row>
    <row r="67" spans="1:13" ht="15.75" hidden="1" customHeight="1" x14ac:dyDescent="0.25">
      <c r="A67" s="319">
        <v>175</v>
      </c>
      <c r="B67" s="298" t="s">
        <v>3576</v>
      </c>
      <c r="C67" s="313" t="s">
        <v>1454</v>
      </c>
      <c r="D67" s="317" t="s">
        <v>3564</v>
      </c>
      <c r="E67" s="317" t="s">
        <v>3459</v>
      </c>
      <c r="F67" s="317" t="s">
        <v>3477</v>
      </c>
      <c r="G67" s="308" t="s">
        <v>1883</v>
      </c>
      <c r="H67" s="299">
        <v>1700</v>
      </c>
      <c r="I67" s="299">
        <v>2200</v>
      </c>
      <c r="J67" s="298">
        <f>IF(OR(G67="ágazaton kívüli",G67="n.a."),2.2,IF(OR(E67=2,E67=3,E67=4),VLOOKUP(G67,Szakmaszorzók!$B$2:$D$25,2,0),VLOOKUP(G67,Szakmaszorzók!$B$2:$D$25,3,0)))</f>
        <v>2.2000000000000002</v>
      </c>
      <c r="K67" s="320">
        <f>'Támogatás szorzat tényezői'!$C$2*'Támogatás szorzat tényezői'!$C$5*J67*(H67/1000)</f>
        <v>1346400.0000000002</v>
      </c>
      <c r="L67" s="300"/>
      <c r="M67" s="319">
        <f t="shared" si="1"/>
        <v>8</v>
      </c>
    </row>
    <row r="68" spans="1:13" ht="15.75" hidden="1" customHeight="1" x14ac:dyDescent="0.25">
      <c r="A68" s="319">
        <v>176</v>
      </c>
      <c r="B68" s="298" t="s">
        <v>3004</v>
      </c>
      <c r="C68" s="313" t="s">
        <v>1455</v>
      </c>
      <c r="D68" s="317" t="s">
        <v>3564</v>
      </c>
      <c r="E68" s="317" t="s">
        <v>3459</v>
      </c>
      <c r="F68" s="317" t="s">
        <v>3472</v>
      </c>
      <c r="G68" s="308" t="s">
        <v>1883</v>
      </c>
      <c r="H68" s="299">
        <v>1700</v>
      </c>
      <c r="I68" s="299">
        <v>2200</v>
      </c>
      <c r="J68" s="298">
        <f>IF(OR(G68="ágazaton kívüli",G68="n.a."),2.2,IF(OR(E68=2,E68=3,E68=4),VLOOKUP(G68,Szakmaszorzók!$B$2:$D$25,2,0),VLOOKUP(G68,Szakmaszorzók!$B$2:$D$25,3,0)))</f>
        <v>2.2000000000000002</v>
      </c>
      <c r="K68" s="320">
        <f>'Támogatás szorzat tényezői'!$C$2*'Támogatás szorzat tényezői'!$C$5*J68*(H68/1000)</f>
        <v>1346400.0000000002</v>
      </c>
      <c r="L68" s="300"/>
      <c r="M68" s="319">
        <f t="shared" si="1"/>
        <v>8</v>
      </c>
    </row>
    <row r="69" spans="1:13" ht="15.75" hidden="1" customHeight="1" x14ac:dyDescent="0.25">
      <c r="A69" s="319">
        <v>353</v>
      </c>
      <c r="B69" s="298" t="s">
        <v>3726</v>
      </c>
      <c r="C69" s="313" t="s">
        <v>1456</v>
      </c>
      <c r="D69" s="317" t="s">
        <v>1362</v>
      </c>
      <c r="E69" s="317" t="s">
        <v>3459</v>
      </c>
      <c r="F69" s="317" t="s">
        <v>3464</v>
      </c>
      <c r="G69" s="299" t="s">
        <v>1351</v>
      </c>
      <c r="H69" s="299">
        <v>200</v>
      </c>
      <c r="I69" s="299">
        <v>300</v>
      </c>
      <c r="J69" s="298">
        <f>IF(OR(G69="ágazaton kívüli",G69="n.a."),2.2,IF(OR(E69=2,E69=3,E69=4),VLOOKUP(G69,Szakmaszorzók!$B$2:$D$25,2,0),VLOOKUP(G69,Szakmaszorzók!$B$2:$D$25,3,0)))</f>
        <v>2.2000000000000002</v>
      </c>
      <c r="K69" s="320">
        <f>'Támogatás szorzat tényezői'!$C$2*'Támogatás szorzat tényezői'!$C$5*J69*(H69/1000)</f>
        <v>158400.00000000003</v>
      </c>
      <c r="L69" s="300"/>
      <c r="M69" s="319">
        <f t="shared" si="1"/>
        <v>8</v>
      </c>
    </row>
    <row r="70" spans="1:13" ht="15.75" hidden="1" customHeight="1" x14ac:dyDescent="0.25">
      <c r="A70" s="319">
        <v>118</v>
      </c>
      <c r="B70" s="298" t="s">
        <v>2926</v>
      </c>
      <c r="C70" s="313" t="s">
        <v>1705</v>
      </c>
      <c r="D70" s="317" t="s">
        <v>3544</v>
      </c>
      <c r="E70" s="317" t="s">
        <v>3458</v>
      </c>
      <c r="F70" s="317" t="s">
        <v>3456</v>
      </c>
      <c r="G70" s="299" t="s">
        <v>1316</v>
      </c>
      <c r="H70" s="299">
        <v>240</v>
      </c>
      <c r="I70" s="299">
        <v>360</v>
      </c>
      <c r="J70" s="298">
        <f>IF(OR(G70="ágazaton kívüli",G70="n.a."),2.2,IF(OR(E70=2,E70=3,E70=4),VLOOKUP(G70,Szakmaszorzók!$B$2:$D$25,2,0),VLOOKUP(G70,Szakmaszorzók!$B$2:$D$25,3,0)))</f>
        <v>2.85</v>
      </c>
      <c r="K70" s="320">
        <f>'Támogatás szorzat tényezői'!$C$2*'Támogatás szorzat tényezői'!$C$5*J70*(H70/1000)</f>
        <v>246240</v>
      </c>
      <c r="L70" s="300"/>
      <c r="M70" s="319">
        <f t="shared" si="1"/>
        <v>8</v>
      </c>
    </row>
    <row r="71" spans="1:13" ht="15.75" hidden="1" customHeight="1" x14ac:dyDescent="0.25">
      <c r="A71" s="319">
        <v>7</v>
      </c>
      <c r="B71" s="298" t="s">
        <v>3463</v>
      </c>
      <c r="C71" s="313" t="s">
        <v>1457</v>
      </c>
      <c r="D71" s="317" t="s">
        <v>1291</v>
      </c>
      <c r="E71" s="317" t="s">
        <v>3458</v>
      </c>
      <c r="F71" s="317" t="s">
        <v>3464</v>
      </c>
      <c r="G71" s="299" t="s">
        <v>1290</v>
      </c>
      <c r="H71" s="299">
        <v>480</v>
      </c>
      <c r="I71" s="299">
        <v>600</v>
      </c>
      <c r="J71" s="298">
        <f>IF(OR(G71="ágazaton kívüli",G71="n.a."),2.2,IF(OR(E71=2,E71=3,E71=4),VLOOKUP(G71,Szakmaszorzók!$B$2:$D$25,2,0),VLOOKUP(G71,Szakmaszorzók!$B$2:$D$25,3,0)))</f>
        <v>2.85</v>
      </c>
      <c r="K71" s="320">
        <f>'Támogatás szorzat tényezői'!$C$2*'Támogatás szorzat tényezői'!$C$5*J71*(H71/1000)</f>
        <v>492480</v>
      </c>
      <c r="L71" s="300"/>
      <c r="M71" s="319">
        <f t="shared" si="1"/>
        <v>8</v>
      </c>
    </row>
    <row r="72" spans="1:13" ht="15.75" hidden="1" customHeight="1" x14ac:dyDescent="0.25">
      <c r="A72" s="319">
        <v>302</v>
      </c>
      <c r="B72" s="298" t="s">
        <v>3087</v>
      </c>
      <c r="C72" s="314" t="s">
        <v>3088</v>
      </c>
      <c r="D72" s="317" t="s">
        <v>3700</v>
      </c>
      <c r="E72" s="317" t="s">
        <v>3455</v>
      </c>
      <c r="F72" s="317" t="s">
        <v>3481</v>
      </c>
      <c r="G72" s="7" t="s">
        <v>1303</v>
      </c>
      <c r="H72" s="7">
        <v>100</v>
      </c>
      <c r="I72" s="7">
        <v>180</v>
      </c>
      <c r="J72" s="298">
        <f>IF(OR(G72="ágazaton kívüli",G72="n.a."),2.2,IF(OR(E72=2,E72=3,E72=4),VLOOKUP(G72,Szakmaszorzók!$B$2:$D$25,2,0),VLOOKUP(G72,Szakmaszorzók!$B$2:$D$25,3,0)))</f>
        <v>2.2000000000000002</v>
      </c>
      <c r="K72" s="320">
        <f>'Támogatás szorzat tényezői'!$C$2*'Támogatás szorzat tényezői'!$C$5*J72*(H72/1000)</f>
        <v>79200.000000000015</v>
      </c>
      <c r="L72" s="301"/>
      <c r="M72" s="319">
        <f t="shared" si="1"/>
        <v>8</v>
      </c>
    </row>
    <row r="73" spans="1:13" ht="15.75" hidden="1" customHeight="1" x14ac:dyDescent="0.25">
      <c r="A73" s="319">
        <v>354</v>
      </c>
      <c r="B73" s="298" t="s">
        <v>3110</v>
      </c>
      <c r="C73" s="313" t="s">
        <v>1458</v>
      </c>
      <c r="D73" s="317" t="s">
        <v>1362</v>
      </c>
      <c r="E73" s="317" t="s">
        <v>3458</v>
      </c>
      <c r="F73" s="317" t="s">
        <v>3460</v>
      </c>
      <c r="G73" s="299" t="s">
        <v>1351</v>
      </c>
      <c r="H73" s="299">
        <v>80</v>
      </c>
      <c r="I73" s="299">
        <v>120</v>
      </c>
      <c r="J73" s="298">
        <f>IF(OR(G73="ágazaton kívüli",G73="n.a."),2.2,IF(OR(E73=2,E73=3,E73=4),VLOOKUP(G73,Szakmaszorzók!$B$2:$D$25,2,0),VLOOKUP(G73,Szakmaszorzók!$B$2:$D$25,3,0)))</f>
        <v>2.2000000000000002</v>
      </c>
      <c r="K73" s="320">
        <f>'Támogatás szorzat tényezői'!$C$2*'Támogatás szorzat tényezői'!$C$5*J73*(H73/1000)</f>
        <v>63360.000000000007</v>
      </c>
      <c r="L73" s="300"/>
      <c r="M73" s="319">
        <f t="shared" si="1"/>
        <v>8</v>
      </c>
    </row>
    <row r="74" spans="1:13" ht="15.75" hidden="1" customHeight="1" x14ac:dyDescent="0.25">
      <c r="A74" s="319">
        <v>137</v>
      </c>
      <c r="B74" s="298" t="s">
        <v>3551</v>
      </c>
      <c r="C74" s="313" t="s">
        <v>2941</v>
      </c>
      <c r="D74" s="317" t="s">
        <v>3552</v>
      </c>
      <c r="E74" s="317" t="s">
        <v>3459</v>
      </c>
      <c r="F74" s="317" t="s">
        <v>3456</v>
      </c>
      <c r="G74" s="299" t="s">
        <v>1709</v>
      </c>
      <c r="H74" s="299">
        <v>160</v>
      </c>
      <c r="I74" s="299">
        <v>160</v>
      </c>
      <c r="J74" s="298">
        <f>IF(OR(G74="ágazaton kívüli",G74="n.a."),2.2,IF(OR(E74=2,E74=3,E74=4),VLOOKUP(G74,Szakmaszorzók!$B$2:$D$25,2,0),VLOOKUP(G74,Szakmaszorzók!$B$2:$D$25,3,0)))</f>
        <v>2.2000000000000002</v>
      </c>
      <c r="K74" s="320">
        <f>'Támogatás szorzat tényezői'!$C$2*'Támogatás szorzat tényezői'!$C$5*J74*(H74/1000)</f>
        <v>126720.00000000001</v>
      </c>
      <c r="L74" s="300"/>
      <c r="M74" s="319">
        <f t="shared" si="1"/>
        <v>8</v>
      </c>
    </row>
    <row r="75" spans="1:13" ht="15.75" hidden="1" customHeight="1" x14ac:dyDescent="0.25">
      <c r="A75" s="319">
        <v>8</v>
      </c>
      <c r="B75" s="298" t="s">
        <v>3465</v>
      </c>
      <c r="C75" s="313" t="s">
        <v>1658</v>
      </c>
      <c r="D75" s="317" t="s">
        <v>1311</v>
      </c>
      <c r="E75" s="317" t="s">
        <v>3459</v>
      </c>
      <c r="F75" s="317" t="s">
        <v>3466</v>
      </c>
      <c r="G75" s="299" t="s">
        <v>1301</v>
      </c>
      <c r="H75" s="299">
        <v>320</v>
      </c>
      <c r="I75" s="299">
        <v>480</v>
      </c>
      <c r="J75" s="298">
        <f>IF(OR(G75="ágazaton kívüli",G75="n.a."),2.2,IF(OR(E75=2,E75=3,E75=4),VLOOKUP(G75,Szakmaszorzók!$B$2:$D$25,2,0),VLOOKUP(G75,Szakmaszorzók!$B$2:$D$25,3,0)))</f>
        <v>2.85</v>
      </c>
      <c r="K75" s="320">
        <f>'Támogatás szorzat tényezői'!$C$2*'Támogatás szorzat tényezői'!$C$5*J75*(H75/1000)</f>
        <v>328320</v>
      </c>
      <c r="L75" s="300"/>
      <c r="M75" s="319">
        <f t="shared" si="1"/>
        <v>8</v>
      </c>
    </row>
    <row r="76" spans="1:13" ht="15.75" hidden="1" customHeight="1" x14ac:dyDescent="0.25">
      <c r="A76" s="319">
        <v>9</v>
      </c>
      <c r="B76" s="298" t="s">
        <v>2860</v>
      </c>
      <c r="C76" s="313" t="s">
        <v>1657</v>
      </c>
      <c r="D76" s="317" t="s">
        <v>1311</v>
      </c>
      <c r="E76" s="317" t="s">
        <v>3459</v>
      </c>
      <c r="F76" s="317" t="s">
        <v>3467</v>
      </c>
      <c r="G76" s="299" t="s">
        <v>1301</v>
      </c>
      <c r="H76" s="299">
        <v>640</v>
      </c>
      <c r="I76" s="299">
        <v>960</v>
      </c>
      <c r="J76" s="298">
        <f>IF(OR(G76="ágazaton kívüli",G76="n.a."),2.2,IF(OR(E76=2,E76=3,E76=4),VLOOKUP(G76,Szakmaszorzók!$B$2:$D$25,2,0),VLOOKUP(G76,Szakmaszorzók!$B$2:$D$25,3,0)))</f>
        <v>2.85</v>
      </c>
      <c r="K76" s="320">
        <f>'Támogatás szorzat tényezői'!$C$2*'Támogatás szorzat tényezői'!$C$5*J76*(H76/1000)</f>
        <v>656640</v>
      </c>
      <c r="L76" s="300"/>
      <c r="M76" s="319">
        <f t="shared" si="1"/>
        <v>8</v>
      </c>
    </row>
    <row r="77" spans="1:13" ht="15.75" hidden="1" customHeight="1" x14ac:dyDescent="0.25">
      <c r="A77" s="319">
        <v>10</v>
      </c>
      <c r="B77" s="298" t="s">
        <v>3468</v>
      </c>
      <c r="C77" s="313" t="s">
        <v>1656</v>
      </c>
      <c r="D77" s="317" t="s">
        <v>1311</v>
      </c>
      <c r="E77" s="317" t="s">
        <v>3459</v>
      </c>
      <c r="F77" s="317" t="s">
        <v>3469</v>
      </c>
      <c r="G77" s="299" t="s">
        <v>1301</v>
      </c>
      <c r="H77" s="299">
        <v>320</v>
      </c>
      <c r="I77" s="299">
        <v>480</v>
      </c>
      <c r="J77" s="298">
        <f>IF(OR(G77="ágazaton kívüli",G77="n.a."),2.2,IF(OR(E77=2,E77=3,E77=4),VLOOKUP(G77,Szakmaszorzók!$B$2:$D$25,2,0),VLOOKUP(G77,Szakmaszorzók!$B$2:$D$25,3,0)))</f>
        <v>2.85</v>
      </c>
      <c r="K77" s="320">
        <f>'Támogatás szorzat tényezői'!$C$2*'Támogatás szorzat tényezői'!$C$5*J77*(H77/1000)</f>
        <v>328320</v>
      </c>
      <c r="L77" s="300"/>
      <c r="M77" s="319">
        <f t="shared" si="1"/>
        <v>8</v>
      </c>
    </row>
    <row r="78" spans="1:13" ht="15.75" hidden="1" customHeight="1" x14ac:dyDescent="0.25">
      <c r="A78" s="319">
        <v>11</v>
      </c>
      <c r="B78" s="298" t="s">
        <v>2581</v>
      </c>
      <c r="C78" s="313" t="s">
        <v>1660</v>
      </c>
      <c r="D78" s="317" t="s">
        <v>1311</v>
      </c>
      <c r="E78" s="317" t="s">
        <v>3459</v>
      </c>
      <c r="F78" s="317" t="s">
        <v>3470</v>
      </c>
      <c r="G78" s="299" t="s">
        <v>1301</v>
      </c>
      <c r="H78" s="299">
        <v>320</v>
      </c>
      <c r="I78" s="299">
        <v>480</v>
      </c>
      <c r="J78" s="298">
        <f>IF(OR(G78="ágazaton kívüli",G78="n.a."),2.2,IF(OR(E78=2,E78=3,E78=4),VLOOKUP(G78,Szakmaszorzók!$B$2:$D$25,2,0),VLOOKUP(G78,Szakmaszorzók!$B$2:$D$25,3,0)))</f>
        <v>2.85</v>
      </c>
      <c r="K78" s="320">
        <f>'Támogatás szorzat tényezői'!$C$2*'Támogatás szorzat tényezői'!$C$5*J78*(H78/1000)</f>
        <v>328320</v>
      </c>
      <c r="L78" s="300"/>
      <c r="M78" s="319">
        <f t="shared" si="1"/>
        <v>8</v>
      </c>
    </row>
    <row r="79" spans="1:13" ht="15.75" hidden="1" customHeight="1" x14ac:dyDescent="0.25">
      <c r="A79" s="319">
        <v>92</v>
      </c>
      <c r="B79" s="298" t="s">
        <v>2650</v>
      </c>
      <c r="C79" s="313" t="s">
        <v>1459</v>
      </c>
      <c r="D79" s="317" t="s">
        <v>1281</v>
      </c>
      <c r="E79" s="317" t="s">
        <v>3458</v>
      </c>
      <c r="F79" s="317" t="s">
        <v>3502</v>
      </c>
      <c r="G79" s="299" t="s">
        <v>1280</v>
      </c>
      <c r="H79" s="299">
        <v>120</v>
      </c>
      <c r="I79" s="299">
        <v>220</v>
      </c>
      <c r="J79" s="298">
        <f>IF(OR(G79="ágazaton kívüli",G79="n.a."),2.2,IF(OR(E79=2,E79=3,E79=4),VLOOKUP(G79,Szakmaszorzók!$B$2:$D$25,2,0),VLOOKUP(G79,Szakmaszorzók!$B$2:$D$25,3,0)))</f>
        <v>2.85</v>
      </c>
      <c r="K79" s="320">
        <f>'Támogatás szorzat tényezői'!$C$2*'Támogatás szorzat tényezői'!$C$5*J79*(H79/1000)</f>
        <v>123120</v>
      </c>
      <c r="L79" s="300"/>
      <c r="M79" s="319">
        <f t="shared" si="1"/>
        <v>8</v>
      </c>
    </row>
    <row r="80" spans="1:13" ht="15.75" hidden="1" customHeight="1" x14ac:dyDescent="0.25">
      <c r="A80" s="319">
        <v>177</v>
      </c>
      <c r="B80" s="298" t="s">
        <v>133</v>
      </c>
      <c r="C80" s="313" t="s">
        <v>2791</v>
      </c>
      <c r="D80" s="317" t="s">
        <v>1360</v>
      </c>
      <c r="E80" s="317" t="s">
        <v>3455</v>
      </c>
      <c r="F80" s="317" t="s">
        <v>3470</v>
      </c>
      <c r="G80" s="308" t="s">
        <v>1883</v>
      </c>
      <c r="H80" s="299">
        <v>480</v>
      </c>
      <c r="I80" s="299">
        <v>720</v>
      </c>
      <c r="J80" s="298">
        <f>IF(OR(G80="ágazaton kívüli",G80="n.a."),2.2,IF(OR(E80=2,E80=3,E80=4),VLOOKUP(G80,Szakmaszorzók!$B$2:$D$25,2,0),VLOOKUP(G80,Szakmaszorzók!$B$2:$D$25,3,0)))</f>
        <v>2.2000000000000002</v>
      </c>
      <c r="K80" s="320">
        <f>'Támogatás szorzat tényezői'!$C$2*'Támogatás szorzat tényezői'!$C$5*J80*(H80/1000)</f>
        <v>380160.00000000006</v>
      </c>
      <c r="L80" s="300"/>
      <c r="M80" s="319">
        <f t="shared" si="1"/>
        <v>8</v>
      </c>
    </row>
    <row r="81" spans="1:13" ht="15.75" hidden="1" customHeight="1" x14ac:dyDescent="0.25">
      <c r="A81" s="319">
        <v>93</v>
      </c>
      <c r="B81" s="298" t="s">
        <v>3530</v>
      </c>
      <c r="C81" s="313" t="s">
        <v>1460</v>
      </c>
      <c r="D81" s="317" t="s">
        <v>1281</v>
      </c>
      <c r="E81" s="317" t="s">
        <v>3458</v>
      </c>
      <c r="F81" s="317" t="s">
        <v>3460</v>
      </c>
      <c r="G81" s="299" t="s">
        <v>1289</v>
      </c>
      <c r="H81" s="299">
        <v>700</v>
      </c>
      <c r="I81" s="299">
        <v>900</v>
      </c>
      <c r="J81" s="298">
        <f>IF(OR(G81="ágazaton kívüli",G81="n.a."),2.2,IF(OR(E81=2,E81=3,E81=4),VLOOKUP(G81,Szakmaszorzók!$B$2:$D$25,2,0),VLOOKUP(G81,Szakmaszorzók!$B$2:$D$25,3,0)))</f>
        <v>2.42</v>
      </c>
      <c r="K81" s="320">
        <f>'Támogatás szorzat tényezői'!$C$2*'Támogatás szorzat tényezői'!$C$5*J81*(H81/1000)</f>
        <v>609840</v>
      </c>
      <c r="L81" s="300"/>
      <c r="M81" s="319">
        <f t="shared" si="1"/>
        <v>8</v>
      </c>
    </row>
    <row r="82" spans="1:13" ht="15.75" hidden="1" customHeight="1" x14ac:dyDescent="0.25">
      <c r="A82" s="319">
        <v>86</v>
      </c>
      <c r="B82" s="298" t="s">
        <v>3525</v>
      </c>
      <c r="C82" s="313" t="s">
        <v>1704</v>
      </c>
      <c r="D82" s="317" t="s">
        <v>1702</v>
      </c>
      <c r="E82" s="317" t="s">
        <v>3458</v>
      </c>
      <c r="F82" s="317" t="s">
        <v>3464</v>
      </c>
      <c r="G82" s="299" t="s">
        <v>1316</v>
      </c>
      <c r="H82" s="299">
        <v>320</v>
      </c>
      <c r="I82" s="299">
        <v>480</v>
      </c>
      <c r="J82" s="298">
        <f>IF(OR(G82="ágazaton kívüli",G82="n.a."),2.2,IF(OR(E82=2,E82=3,E82=4),VLOOKUP(G82,Szakmaszorzók!$B$2:$D$25,2,0),VLOOKUP(G82,Szakmaszorzók!$B$2:$D$25,3,0)))</f>
        <v>2.85</v>
      </c>
      <c r="K82" s="320">
        <f>'Támogatás szorzat tényezői'!$C$2*'Támogatás szorzat tényezői'!$C$5*J82*(H82/1000)</f>
        <v>328320</v>
      </c>
      <c r="L82" s="300"/>
      <c r="M82" s="319">
        <f t="shared" si="1"/>
        <v>8</v>
      </c>
    </row>
    <row r="83" spans="1:13" ht="15.75" hidden="1" customHeight="1" x14ac:dyDescent="0.25">
      <c r="A83" s="319">
        <v>303</v>
      </c>
      <c r="B83" s="298" t="s">
        <v>3082</v>
      </c>
      <c r="C83" s="313" t="s">
        <v>3083</v>
      </c>
      <c r="D83" s="317" t="s">
        <v>3700</v>
      </c>
      <c r="E83" s="317" t="s">
        <v>3458</v>
      </c>
      <c r="F83" s="317" t="s">
        <v>3484</v>
      </c>
      <c r="G83" s="299" t="s">
        <v>1303</v>
      </c>
      <c r="H83" s="299">
        <v>200</v>
      </c>
      <c r="I83" s="299">
        <v>300</v>
      </c>
      <c r="J83" s="298">
        <f>IF(OR(G83="ágazaton kívüli",G83="n.a."),2.2,IF(OR(E83=2,E83=3,E83=4),VLOOKUP(G83,Szakmaszorzók!$B$2:$D$25,2,0),VLOOKUP(G83,Szakmaszorzók!$B$2:$D$25,3,0)))</f>
        <v>2.2000000000000002</v>
      </c>
      <c r="K83" s="320">
        <f>'Támogatás szorzat tényezői'!$C$2*'Támogatás szorzat tényezői'!$C$5*J83*(H83/1000)</f>
        <v>158400.00000000003</v>
      </c>
      <c r="L83" s="300"/>
      <c r="M83" s="319">
        <f t="shared" si="1"/>
        <v>8</v>
      </c>
    </row>
    <row r="84" spans="1:13" ht="15.75" hidden="1" customHeight="1" x14ac:dyDescent="0.25">
      <c r="A84" s="319">
        <v>304</v>
      </c>
      <c r="B84" s="298" t="s">
        <v>3701</v>
      </c>
      <c r="C84" s="313" t="s">
        <v>3081</v>
      </c>
      <c r="D84" s="317" t="s">
        <v>3700</v>
      </c>
      <c r="E84" s="317" t="s">
        <v>3458</v>
      </c>
      <c r="F84" s="317" t="s">
        <v>3502</v>
      </c>
      <c r="G84" s="304" t="s">
        <v>1303</v>
      </c>
      <c r="H84" s="304">
        <v>800</v>
      </c>
      <c r="I84" s="304">
        <v>1000</v>
      </c>
      <c r="J84" s="298">
        <f>IF(OR(G84="ágazaton kívüli",G84="n.a."),2.2,IF(OR(E84=2,E84=3,E84=4),VLOOKUP(G84,Szakmaszorzók!$B$2:$D$25,2,0),VLOOKUP(G84,Szakmaszorzók!$B$2:$D$25,3,0)))</f>
        <v>2.2000000000000002</v>
      </c>
      <c r="K84" s="320">
        <f>'Támogatás szorzat tényezői'!$C$2*'Támogatás szorzat tényezői'!$C$5*J84*(H84/1000)</f>
        <v>633600.00000000012</v>
      </c>
      <c r="L84" s="300"/>
      <c r="M84" s="319">
        <f t="shared" si="1"/>
        <v>8</v>
      </c>
    </row>
    <row r="85" spans="1:13" ht="15.75" hidden="1" customHeight="1" x14ac:dyDescent="0.25">
      <c r="A85" s="319">
        <v>384</v>
      </c>
      <c r="B85" s="298" t="s">
        <v>3186</v>
      </c>
      <c r="C85" s="313" t="s">
        <v>3187</v>
      </c>
      <c r="D85" s="317" t="s">
        <v>3739</v>
      </c>
      <c r="E85" s="317" t="s">
        <v>3459</v>
      </c>
      <c r="F85" s="317" t="s">
        <v>3489</v>
      </c>
      <c r="G85" s="7" t="s">
        <v>1373</v>
      </c>
      <c r="H85" s="296">
        <v>250</v>
      </c>
      <c r="I85" s="296">
        <v>400</v>
      </c>
      <c r="J85" s="298">
        <f>IF(OR(G85="ágazaton kívüli",G85="n.a."),2.2,IF(OR(E85=2,E85=3,E85=4),VLOOKUP(G85,Szakmaszorzók!$B$2:$D$25,2,0),VLOOKUP(G85,Szakmaszorzók!$B$2:$D$25,3,0)))</f>
        <v>2.2000000000000002</v>
      </c>
      <c r="K85" s="320">
        <f>'Támogatás szorzat tényezői'!$C$2*'Támogatás szorzat tényezői'!$C$5*J85*(H85/1000)</f>
        <v>198000.00000000003</v>
      </c>
      <c r="L85" s="300"/>
      <c r="M85" s="319">
        <f t="shared" si="1"/>
        <v>8</v>
      </c>
    </row>
    <row r="86" spans="1:13" ht="15.75" hidden="1" customHeight="1" x14ac:dyDescent="0.25">
      <c r="A86" s="319">
        <v>64</v>
      </c>
      <c r="B86" s="298" t="s">
        <v>1974</v>
      </c>
      <c r="C86" s="313" t="s">
        <v>2896</v>
      </c>
      <c r="D86" s="317" t="s">
        <v>1972</v>
      </c>
      <c r="E86" s="317" t="s">
        <v>3455</v>
      </c>
      <c r="F86" s="317" t="s">
        <v>3481</v>
      </c>
      <c r="G86" s="299" t="s">
        <v>1285</v>
      </c>
      <c r="H86" s="299">
        <v>600</v>
      </c>
      <c r="I86" s="299">
        <v>660</v>
      </c>
      <c r="J86" s="298">
        <f>IF(OR(G86="ágazaton kívüli",G86="n.a."),2.2,IF(OR(E86=2,E86=3,E86=4),VLOOKUP(G86,Szakmaszorzók!$B$2:$D$25,2,0),VLOOKUP(G86,Szakmaszorzók!$B$2:$D$25,3,0)))</f>
        <v>2.2000000000000002</v>
      </c>
      <c r="K86" s="320">
        <f>'Támogatás szorzat tényezői'!$C$2*'Támogatás szorzat tényezői'!$C$5*J86*(H86/1000)</f>
        <v>475200.00000000006</v>
      </c>
      <c r="L86" s="300"/>
      <c r="M86" s="319">
        <f t="shared" si="1"/>
        <v>8</v>
      </c>
    </row>
    <row r="87" spans="1:13" ht="15.75" hidden="1" customHeight="1" x14ac:dyDescent="0.25">
      <c r="A87" s="319">
        <v>151</v>
      </c>
      <c r="B87" s="298" t="s">
        <v>3560</v>
      </c>
      <c r="C87" s="313" t="s">
        <v>2787</v>
      </c>
      <c r="D87" s="317" t="s">
        <v>3561</v>
      </c>
      <c r="E87" s="317" t="s">
        <v>3459</v>
      </c>
      <c r="F87" s="317" t="s">
        <v>3464</v>
      </c>
      <c r="G87" s="299" t="s">
        <v>1301</v>
      </c>
      <c r="H87" s="299">
        <v>320</v>
      </c>
      <c r="I87" s="299">
        <v>350</v>
      </c>
      <c r="J87" s="298">
        <f>IF(OR(G87="ágazaton kívüli",G87="n.a."),2.2,IF(OR(E87=2,E87=3,E87=4),VLOOKUP(G87,Szakmaszorzók!$B$2:$D$25,2,0),VLOOKUP(G87,Szakmaszorzók!$B$2:$D$25,3,0)))</f>
        <v>2.85</v>
      </c>
      <c r="K87" s="320">
        <f>'Támogatás szorzat tényezői'!$C$2*'Támogatás szorzat tényezői'!$C$5*J87*(H87/1000)</f>
        <v>328320</v>
      </c>
      <c r="L87" s="300"/>
      <c r="M87" s="319">
        <f t="shared" si="1"/>
        <v>8</v>
      </c>
    </row>
    <row r="88" spans="1:13" ht="15.75" hidden="1" customHeight="1" x14ac:dyDescent="0.25">
      <c r="A88" s="319">
        <v>152</v>
      </c>
      <c r="B88" s="298" t="s">
        <v>3562</v>
      </c>
      <c r="C88" s="313" t="s">
        <v>1652</v>
      </c>
      <c r="D88" s="317" t="s">
        <v>3561</v>
      </c>
      <c r="E88" s="317" t="s">
        <v>3458</v>
      </c>
      <c r="F88" s="317" t="s">
        <v>3456</v>
      </c>
      <c r="G88" s="299" t="s">
        <v>1301</v>
      </c>
      <c r="H88" s="299">
        <v>400</v>
      </c>
      <c r="I88" s="299">
        <v>600</v>
      </c>
      <c r="J88" s="298">
        <f>IF(OR(G88="ágazaton kívüli",G88="n.a."),2.2,IF(OR(E88=2,E88=3,E88=4),VLOOKUP(G88,Szakmaszorzók!$B$2:$D$25,2,0),VLOOKUP(G88,Szakmaszorzók!$B$2:$D$25,3,0)))</f>
        <v>2.85</v>
      </c>
      <c r="K88" s="320">
        <f>'Támogatás szorzat tényezői'!$C$2*'Támogatás szorzat tényezői'!$C$5*J88*(H88/1000)</f>
        <v>410400</v>
      </c>
      <c r="L88" s="300"/>
      <c r="M88" s="319">
        <f t="shared" si="1"/>
        <v>8</v>
      </c>
    </row>
    <row r="89" spans="1:13" ht="15.75" hidden="1" customHeight="1" x14ac:dyDescent="0.25">
      <c r="A89" s="319">
        <v>65</v>
      </c>
      <c r="B89" s="298" t="s">
        <v>3514</v>
      </c>
      <c r="C89" s="313" t="s">
        <v>2784</v>
      </c>
      <c r="D89" s="317" t="s">
        <v>1971</v>
      </c>
      <c r="E89" s="317" t="s">
        <v>3459</v>
      </c>
      <c r="F89" s="317" t="s">
        <v>3464</v>
      </c>
      <c r="G89" s="299" t="s">
        <v>1285</v>
      </c>
      <c r="H89" s="299">
        <v>300</v>
      </c>
      <c r="I89" s="299">
        <v>330</v>
      </c>
      <c r="J89" s="298">
        <f>IF(OR(G89="ágazaton kívüli",G89="n.a."),2.2,IF(OR(E89=2,E89=3,E89=4),VLOOKUP(G89,Szakmaszorzók!$B$2:$D$25,2,0),VLOOKUP(G89,Szakmaszorzók!$B$2:$D$25,3,0)))</f>
        <v>2.2000000000000002</v>
      </c>
      <c r="K89" s="320">
        <f>'Támogatás szorzat tényezői'!$C$2*'Támogatás szorzat tényezői'!$C$5*J89*(H89/1000)</f>
        <v>237600.00000000003</v>
      </c>
      <c r="L89" s="300"/>
      <c r="M89" s="319">
        <f t="shared" si="1"/>
        <v>8</v>
      </c>
    </row>
    <row r="90" spans="1:13" ht="15.75" hidden="1" customHeight="1" x14ac:dyDescent="0.25">
      <c r="A90" s="319">
        <v>355</v>
      </c>
      <c r="B90" s="298" t="s">
        <v>3727</v>
      </c>
      <c r="C90" s="313" t="s">
        <v>1461</v>
      </c>
      <c r="D90" s="317" t="s">
        <v>1362</v>
      </c>
      <c r="E90" s="317" t="s">
        <v>3459</v>
      </c>
      <c r="F90" s="317" t="s">
        <v>3481</v>
      </c>
      <c r="G90" s="299" t="s">
        <v>1351</v>
      </c>
      <c r="H90" s="299">
        <v>200</v>
      </c>
      <c r="I90" s="299">
        <v>300</v>
      </c>
      <c r="J90" s="298">
        <f>IF(OR(G90="ágazaton kívüli",G90="n.a."),2.2,IF(OR(E90=2,E90=3,E90=4),VLOOKUP(G90,Szakmaszorzók!$B$2:$D$25,2,0),VLOOKUP(G90,Szakmaszorzók!$B$2:$D$25,3,0)))</f>
        <v>2.2000000000000002</v>
      </c>
      <c r="K90" s="320">
        <f>'Támogatás szorzat tényezői'!$C$2*'Támogatás szorzat tényezői'!$C$5*J90*(H90/1000)</f>
        <v>158400.00000000003</v>
      </c>
      <c r="L90" s="300"/>
      <c r="M90" s="319">
        <f t="shared" si="1"/>
        <v>8</v>
      </c>
    </row>
    <row r="91" spans="1:13" ht="15.75" hidden="1" customHeight="1" x14ac:dyDescent="0.25">
      <c r="A91" s="319">
        <v>305</v>
      </c>
      <c r="B91" s="298" t="s">
        <v>3043</v>
      </c>
      <c r="C91" s="313" t="s">
        <v>3044</v>
      </c>
      <c r="D91" s="317" t="s">
        <v>3699</v>
      </c>
      <c r="E91" s="317" t="s">
        <v>3459</v>
      </c>
      <c r="F91" s="317" t="s">
        <v>3464</v>
      </c>
      <c r="G91" s="299" t="s">
        <v>1325</v>
      </c>
      <c r="H91" s="299">
        <v>200</v>
      </c>
      <c r="I91" s="299">
        <v>250</v>
      </c>
      <c r="J91" s="298">
        <f>IF(OR(G91="ágazaton kívüli",G91="n.a."),2.2,IF(OR(E91=2,E91=3,E91=4),VLOOKUP(G91,Szakmaszorzók!$B$2:$D$25,2,0),VLOOKUP(G91,Szakmaszorzók!$B$2:$D$25,3,0)))</f>
        <v>2.2000000000000002</v>
      </c>
      <c r="K91" s="320">
        <f>'Támogatás szorzat tényezői'!$C$2*'Támogatás szorzat tényezői'!$C$5*J91*(H91/1000)</f>
        <v>158400.00000000003</v>
      </c>
      <c r="L91" s="300"/>
      <c r="M91" s="319">
        <f t="shared" si="1"/>
        <v>8</v>
      </c>
    </row>
    <row r="92" spans="1:13" ht="15.75" hidden="1" customHeight="1" x14ac:dyDescent="0.25">
      <c r="A92" s="319">
        <v>306</v>
      </c>
      <c r="B92" s="298" t="s">
        <v>2775</v>
      </c>
      <c r="C92" s="313" t="s">
        <v>3037</v>
      </c>
      <c r="D92" s="317" t="s">
        <v>3702</v>
      </c>
      <c r="E92" s="317" t="s">
        <v>3455</v>
      </c>
      <c r="F92" s="317" t="s">
        <v>3456</v>
      </c>
      <c r="G92" s="299" t="s">
        <v>1327</v>
      </c>
      <c r="H92" s="299">
        <v>1100</v>
      </c>
      <c r="I92" s="299">
        <v>1200</v>
      </c>
      <c r="J92" s="298">
        <f>IF(OR(G92="ágazaton kívüli",G92="n.a."),2.2,IF(OR(E92=2,E92=3,E92=4),VLOOKUP(G92,Szakmaszorzók!$B$2:$D$25,2,0),VLOOKUP(G92,Szakmaszorzók!$B$2:$D$25,3,0)))</f>
        <v>2.42</v>
      </c>
      <c r="K92" s="320">
        <f>'Támogatás szorzat tényezői'!$C$2*'Támogatás szorzat tényezői'!$C$5*J92*(H92/1000)</f>
        <v>958320.00000000012</v>
      </c>
      <c r="L92" s="300"/>
      <c r="M92" s="319">
        <f t="shared" si="1"/>
        <v>8</v>
      </c>
    </row>
    <row r="93" spans="1:13" ht="15.75" hidden="1" customHeight="1" x14ac:dyDescent="0.25">
      <c r="A93" s="319">
        <v>12</v>
      </c>
      <c r="B93" s="298" t="s">
        <v>2885</v>
      </c>
      <c r="C93" s="314" t="s">
        <v>2886</v>
      </c>
      <c r="D93" s="317" t="s">
        <v>1302</v>
      </c>
      <c r="E93" s="317" t="s">
        <v>3458</v>
      </c>
      <c r="F93" s="317" t="s">
        <v>3471</v>
      </c>
      <c r="G93" s="7" t="s">
        <v>1301</v>
      </c>
      <c r="H93" s="7">
        <v>380</v>
      </c>
      <c r="I93" s="7">
        <v>400</v>
      </c>
      <c r="J93" s="298">
        <f>IF(OR(G93="ágazaton kívüli",G93="n.a."),2.2,IF(OR(E93=2,E93=3,E93=4),VLOOKUP(G93,Szakmaszorzók!$B$2:$D$25,2,0),VLOOKUP(G93,Szakmaszorzók!$B$2:$D$25,3,0)))</f>
        <v>2.85</v>
      </c>
      <c r="K93" s="320">
        <f>'Támogatás szorzat tényezői'!$C$2*'Támogatás szorzat tényezői'!$C$5*J93*(H93/1000)</f>
        <v>389880</v>
      </c>
      <c r="L93" s="301"/>
      <c r="M93" s="319">
        <f t="shared" si="1"/>
        <v>8</v>
      </c>
    </row>
    <row r="94" spans="1:13" ht="15.75" hidden="1" customHeight="1" x14ac:dyDescent="0.25">
      <c r="A94" s="319">
        <v>178</v>
      </c>
      <c r="B94" s="298" t="s">
        <v>3577</v>
      </c>
      <c r="C94" s="313" t="s">
        <v>1462</v>
      </c>
      <c r="D94" s="317" t="s">
        <v>1342</v>
      </c>
      <c r="E94" s="317" t="s">
        <v>3459</v>
      </c>
      <c r="F94" s="317" t="s">
        <v>3464</v>
      </c>
      <c r="G94" s="299" t="s">
        <v>1298</v>
      </c>
      <c r="H94" s="299">
        <v>600</v>
      </c>
      <c r="I94" s="299">
        <v>800</v>
      </c>
      <c r="J94" s="298">
        <f>IF(OR(G94="ágazaton kívüli",G94="n.a."),2.2,IF(OR(E94=2,E94=3,E94=4),VLOOKUP(G94,Szakmaszorzók!$B$2:$D$25,2,0),VLOOKUP(G94,Szakmaszorzók!$B$2:$D$25,3,0)))</f>
        <v>2.42</v>
      </c>
      <c r="K94" s="320">
        <f>'Támogatás szorzat tényezői'!$C$2*'Támogatás szorzat tényezői'!$C$5*J94*(H94/1000)</f>
        <v>522720</v>
      </c>
      <c r="L94" s="300"/>
      <c r="M94" s="319">
        <f t="shared" si="1"/>
        <v>8</v>
      </c>
    </row>
    <row r="95" spans="1:13" ht="15.75" hidden="1" customHeight="1" x14ac:dyDescent="0.25">
      <c r="A95" s="319">
        <v>114</v>
      </c>
      <c r="B95" s="298" t="s">
        <v>129</v>
      </c>
      <c r="C95" s="313" t="s">
        <v>1463</v>
      </c>
      <c r="D95" s="317" t="s">
        <v>3541</v>
      </c>
      <c r="E95" s="317" t="s">
        <v>3459</v>
      </c>
      <c r="F95" s="317" t="s">
        <v>3456</v>
      </c>
      <c r="G95" s="299" t="s">
        <v>1280</v>
      </c>
      <c r="H95" s="299">
        <v>500</v>
      </c>
      <c r="I95" s="299">
        <v>600</v>
      </c>
      <c r="J95" s="298">
        <f>IF(OR(G95="ágazaton kívüli",G95="n.a."),2.2,IF(OR(E95=2,E95=3,E95=4),VLOOKUP(G95,Szakmaszorzók!$B$2:$D$25,2,0),VLOOKUP(G95,Szakmaszorzók!$B$2:$D$25,3,0)))</f>
        <v>2.85</v>
      </c>
      <c r="K95" s="320">
        <f>'Támogatás szorzat tényezői'!$C$2*'Támogatás szorzat tényezői'!$C$5*J95*(H95/1000)</f>
        <v>513000</v>
      </c>
      <c r="L95" s="300"/>
      <c r="M95" s="319">
        <f t="shared" si="1"/>
        <v>8</v>
      </c>
    </row>
    <row r="96" spans="1:13" ht="15.75" hidden="1" customHeight="1" x14ac:dyDescent="0.25">
      <c r="A96" s="319">
        <v>115</v>
      </c>
      <c r="B96" s="298" t="s">
        <v>2925</v>
      </c>
      <c r="C96" s="313" t="s">
        <v>1637</v>
      </c>
      <c r="D96" s="317" t="s">
        <v>3542</v>
      </c>
      <c r="E96" s="317" t="s">
        <v>3455</v>
      </c>
      <c r="F96" s="317" t="s">
        <v>3456</v>
      </c>
      <c r="G96" s="299" t="s">
        <v>1316</v>
      </c>
      <c r="H96" s="299">
        <v>480</v>
      </c>
      <c r="I96" s="299">
        <v>600</v>
      </c>
      <c r="J96" s="298">
        <f>IF(OR(G96="ágazaton kívüli",G96="n.a."),2.2,IF(OR(E96=2,E96=3,E96=4),VLOOKUP(G96,Szakmaszorzók!$B$2:$D$25,2,0),VLOOKUP(G96,Szakmaszorzók!$B$2:$D$25,3,0)))</f>
        <v>2.85</v>
      </c>
      <c r="K96" s="320">
        <f>'Támogatás szorzat tényezői'!$C$2*'Támogatás szorzat tényezői'!$C$5*J96*(H96/1000)</f>
        <v>492480</v>
      </c>
      <c r="L96" s="300"/>
      <c r="M96" s="319">
        <f t="shared" si="1"/>
        <v>8</v>
      </c>
    </row>
    <row r="97" spans="1:13" ht="15.75" hidden="1" customHeight="1" x14ac:dyDescent="0.25">
      <c r="A97" s="319">
        <v>94</v>
      </c>
      <c r="B97" s="298" t="s">
        <v>2916</v>
      </c>
      <c r="C97" s="313" t="s">
        <v>1464</v>
      </c>
      <c r="D97" s="317" t="s">
        <v>1281</v>
      </c>
      <c r="E97" s="317" t="s">
        <v>3458</v>
      </c>
      <c r="F97" s="317" t="s">
        <v>3505</v>
      </c>
      <c r="G97" s="299" t="s">
        <v>1280</v>
      </c>
      <c r="H97" s="299">
        <v>160</v>
      </c>
      <c r="I97" s="299">
        <v>300</v>
      </c>
      <c r="J97" s="298">
        <f>IF(OR(G97="ágazaton kívüli",G97="n.a."),2.2,IF(OR(E97=2,E97=3,E97=4),VLOOKUP(G97,Szakmaszorzók!$B$2:$D$25,2,0),VLOOKUP(G97,Szakmaszorzók!$B$2:$D$25,3,0)))</f>
        <v>2.85</v>
      </c>
      <c r="K97" s="320">
        <f>'Támogatás szorzat tényezői'!$C$2*'Támogatás szorzat tényezői'!$C$5*J97*(H97/1000)</f>
        <v>164160</v>
      </c>
      <c r="L97" s="300"/>
      <c r="M97" s="319">
        <f t="shared" si="1"/>
        <v>8</v>
      </c>
    </row>
    <row r="98" spans="1:13" ht="15.75" hidden="1" customHeight="1" x14ac:dyDescent="0.25">
      <c r="A98" s="319">
        <v>66</v>
      </c>
      <c r="B98" s="298" t="s">
        <v>3515</v>
      </c>
      <c r="C98" s="313" t="s">
        <v>1465</v>
      </c>
      <c r="D98" s="317" t="s">
        <v>1329</v>
      </c>
      <c r="E98" s="317" t="s">
        <v>3455</v>
      </c>
      <c r="F98" s="317" t="s">
        <v>3456</v>
      </c>
      <c r="G98" s="299" t="s">
        <v>1328</v>
      </c>
      <c r="H98" s="299">
        <v>160</v>
      </c>
      <c r="I98" s="299">
        <v>172</v>
      </c>
      <c r="J98" s="298">
        <f>IF(OR(G98="ágazaton kívüli",G98="n.a."),2.2,IF(OR(E98=2,E98=3,E98=4),VLOOKUP(G98,Szakmaszorzók!$B$2:$D$25,2,0),VLOOKUP(G98,Szakmaszorzók!$B$2:$D$25,3,0)))</f>
        <v>2.85</v>
      </c>
      <c r="K98" s="320">
        <f>'Támogatás szorzat tényezői'!$C$2*'Támogatás szorzat tényezői'!$C$5*J98*(H98/1000)</f>
        <v>164160</v>
      </c>
      <c r="L98" s="300"/>
      <c r="M98" s="319">
        <f t="shared" si="1"/>
        <v>8</v>
      </c>
    </row>
    <row r="99" spans="1:13" ht="15.75" hidden="1" customHeight="1" x14ac:dyDescent="0.25">
      <c r="A99" s="319">
        <v>87</v>
      </c>
      <c r="B99" s="298" t="s">
        <v>3526</v>
      </c>
      <c r="C99" s="313" t="s">
        <v>1703</v>
      </c>
      <c r="D99" s="317" t="s">
        <v>1702</v>
      </c>
      <c r="E99" s="317" t="s">
        <v>3527</v>
      </c>
      <c r="F99" s="317" t="s">
        <v>3456</v>
      </c>
      <c r="G99" s="299" t="s">
        <v>1316</v>
      </c>
      <c r="H99" s="299">
        <v>140</v>
      </c>
      <c r="I99" s="299">
        <v>260</v>
      </c>
      <c r="J99" s="298">
        <f>IF(OR(G99="ágazaton kívüli",G99="n.a."),2.2,IF(OR(E99=2,E99=3,E99=4),VLOOKUP(G99,Szakmaszorzók!$B$2:$D$25,2,0),VLOOKUP(G99,Szakmaszorzók!$B$2:$D$25,3,0)))</f>
        <v>2.85</v>
      </c>
      <c r="K99" s="320">
        <f>'Támogatás szorzat tényezői'!$C$2*'Támogatás szorzat tényezői'!$C$5*J99*(H99/1000)</f>
        <v>143640</v>
      </c>
      <c r="L99" s="300"/>
      <c r="M99" s="319">
        <f t="shared" si="1"/>
        <v>8</v>
      </c>
    </row>
    <row r="100" spans="1:13" ht="15.75" hidden="1" customHeight="1" x14ac:dyDescent="0.25">
      <c r="A100" s="319">
        <v>385</v>
      </c>
      <c r="B100" s="298" t="s">
        <v>3164</v>
      </c>
      <c r="C100" s="313" t="s">
        <v>3165</v>
      </c>
      <c r="D100" s="317" t="s">
        <v>3739</v>
      </c>
      <c r="E100" s="317" t="s">
        <v>3458</v>
      </c>
      <c r="F100" s="317" t="s">
        <v>3500</v>
      </c>
      <c r="G100" s="7" t="s">
        <v>1347</v>
      </c>
      <c r="H100" s="296">
        <v>200</v>
      </c>
      <c r="I100" s="296">
        <v>300</v>
      </c>
      <c r="J100" s="298">
        <f>IF(OR(G100="ágazaton kívüli",G100="n.a."),2.2,IF(OR(E100=2,E100=3,E100=4),VLOOKUP(G100,Szakmaszorzók!$B$2:$D$25,2,0),VLOOKUP(G100,Szakmaszorzók!$B$2:$D$25,3,0)))</f>
        <v>2.85</v>
      </c>
      <c r="K100" s="320">
        <f>'Támogatás szorzat tényezői'!$C$2*'Támogatás szorzat tényezői'!$C$5*J100*(H100/1000)</f>
        <v>205200</v>
      </c>
      <c r="L100" s="300"/>
      <c r="M100" s="319">
        <f t="shared" si="1"/>
        <v>8</v>
      </c>
    </row>
    <row r="101" spans="1:13" ht="15.75" hidden="1" customHeight="1" x14ac:dyDescent="0.25">
      <c r="A101" s="319">
        <v>13</v>
      </c>
      <c r="B101" s="298" t="s">
        <v>2859</v>
      </c>
      <c r="C101" s="313" t="s">
        <v>1655</v>
      </c>
      <c r="D101" s="317" t="s">
        <v>1311</v>
      </c>
      <c r="E101" s="317" t="s">
        <v>3459</v>
      </c>
      <c r="F101" s="317" t="s">
        <v>3472</v>
      </c>
      <c r="G101" s="299" t="s">
        <v>1315</v>
      </c>
      <c r="H101" s="299">
        <v>300</v>
      </c>
      <c r="I101" s="299">
        <v>400</v>
      </c>
      <c r="J101" s="298">
        <f>IF(OR(G101="ágazaton kívüli",G101="n.a."),2.2,IF(OR(E101=2,E101=3,E101=4),VLOOKUP(G101,Szakmaszorzók!$B$2:$D$25,2,0),VLOOKUP(G101,Szakmaszorzók!$B$2:$D$25,3,0)))</f>
        <v>2.42</v>
      </c>
      <c r="K101" s="320">
        <f>'Támogatás szorzat tényezői'!$C$2*'Támogatás szorzat tényezői'!$C$5*J101*(H101/1000)</f>
        <v>261360</v>
      </c>
      <c r="L101" s="300"/>
      <c r="M101" s="319">
        <f t="shared" si="1"/>
        <v>8</v>
      </c>
    </row>
    <row r="102" spans="1:13" ht="15.75" hidden="1" customHeight="1" x14ac:dyDescent="0.25">
      <c r="A102" s="319">
        <v>14</v>
      </c>
      <c r="B102" s="298" t="s">
        <v>2887</v>
      </c>
      <c r="C102" s="314" t="s">
        <v>2888</v>
      </c>
      <c r="D102" s="317" t="s">
        <v>1302</v>
      </c>
      <c r="E102" s="317" t="s">
        <v>3458</v>
      </c>
      <c r="F102" s="317" t="s">
        <v>3473</v>
      </c>
      <c r="G102" s="7" t="s">
        <v>1301</v>
      </c>
      <c r="H102" s="7">
        <v>350</v>
      </c>
      <c r="I102" s="7">
        <v>400</v>
      </c>
      <c r="J102" s="298">
        <f>IF(OR(G102="ágazaton kívüli",G102="n.a."),2.2,IF(OR(E102=2,E102=3,E102=4),VLOOKUP(G102,Szakmaszorzók!$B$2:$D$25,2,0),VLOOKUP(G102,Szakmaszorzók!$B$2:$D$25,3,0)))</f>
        <v>2.85</v>
      </c>
      <c r="K102" s="320">
        <f>'Támogatás szorzat tényezői'!$C$2*'Támogatás szorzat tényezői'!$C$5*J102*(H102/1000)</f>
        <v>359100</v>
      </c>
      <c r="L102" s="301"/>
      <c r="M102" s="319">
        <f t="shared" si="1"/>
        <v>8</v>
      </c>
    </row>
    <row r="103" spans="1:13" ht="15.75" hidden="1" customHeight="1" x14ac:dyDescent="0.25">
      <c r="A103" s="319">
        <v>15</v>
      </c>
      <c r="B103" s="298" t="s">
        <v>3474</v>
      </c>
      <c r="C103" s="313" t="s">
        <v>1668</v>
      </c>
      <c r="D103" s="317" t="s">
        <v>1311</v>
      </c>
      <c r="E103" s="317" t="s">
        <v>3459</v>
      </c>
      <c r="F103" s="317" t="s">
        <v>3475</v>
      </c>
      <c r="G103" s="299" t="s">
        <v>1315</v>
      </c>
      <c r="H103" s="299">
        <v>80</v>
      </c>
      <c r="I103" s="299">
        <v>100</v>
      </c>
      <c r="J103" s="298">
        <f>IF(OR(G103="ágazaton kívüli",G103="n.a."),2.2,IF(OR(E103=2,E103=3,E103=4),VLOOKUP(G103,Szakmaszorzók!$B$2:$D$25,2,0),VLOOKUP(G103,Szakmaszorzók!$B$2:$D$25,3,0)))</f>
        <v>2.42</v>
      </c>
      <c r="K103" s="320">
        <f>'Támogatás szorzat tényezői'!$C$2*'Támogatás szorzat tényezői'!$C$5*J103*(H103/1000)</f>
        <v>69696</v>
      </c>
      <c r="L103" s="300"/>
      <c r="M103" s="319">
        <f t="shared" si="1"/>
        <v>8</v>
      </c>
    </row>
    <row r="104" spans="1:13" ht="15.75" hidden="1" customHeight="1" x14ac:dyDescent="0.25">
      <c r="A104" s="319">
        <v>16</v>
      </c>
      <c r="B104" s="298" t="s">
        <v>3476</v>
      </c>
      <c r="C104" s="313" t="s">
        <v>1654</v>
      </c>
      <c r="D104" s="317" t="s">
        <v>1311</v>
      </c>
      <c r="E104" s="317" t="s">
        <v>3459</v>
      </c>
      <c r="F104" s="317" t="s">
        <v>3477</v>
      </c>
      <c r="G104" s="299" t="s">
        <v>1301</v>
      </c>
      <c r="H104" s="299">
        <v>320</v>
      </c>
      <c r="I104" s="299">
        <v>480</v>
      </c>
      <c r="J104" s="298">
        <f>IF(OR(G104="ágazaton kívüli",G104="n.a."),2.2,IF(OR(E104=2,E104=3,E104=4),VLOOKUP(G104,Szakmaszorzók!$B$2:$D$25,2,0),VLOOKUP(G104,Szakmaszorzók!$B$2:$D$25,3,0)))</f>
        <v>2.85</v>
      </c>
      <c r="K104" s="320">
        <f>'Támogatás szorzat tényezői'!$C$2*'Támogatás szorzat tényezői'!$C$5*J104*(H104/1000)</f>
        <v>328320</v>
      </c>
      <c r="L104" s="300"/>
      <c r="M104" s="319">
        <f t="shared" si="1"/>
        <v>8</v>
      </c>
    </row>
    <row r="105" spans="1:13" ht="15.75" hidden="1" customHeight="1" x14ac:dyDescent="0.25">
      <c r="A105" s="319">
        <v>17</v>
      </c>
      <c r="B105" s="298" t="s">
        <v>3478</v>
      </c>
      <c r="C105" s="313" t="s">
        <v>1467</v>
      </c>
      <c r="D105" s="317" t="s">
        <v>1302</v>
      </c>
      <c r="E105" s="317" t="s">
        <v>3458</v>
      </c>
      <c r="F105" s="317" t="s">
        <v>3464</v>
      </c>
      <c r="G105" s="299" t="s">
        <v>1293</v>
      </c>
      <c r="H105" s="299">
        <v>380</v>
      </c>
      <c r="I105" s="299">
        <v>720</v>
      </c>
      <c r="J105" s="298">
        <f>IF(OR(G105="ágazaton kívüli",G105="n.a."),2.2,IF(OR(E105=2,E105=3,E105=4),VLOOKUP(G105,Szakmaszorzók!$B$2:$D$25,2,0),VLOOKUP(G105,Szakmaszorzók!$B$2:$D$25,3,0)))</f>
        <v>2.42</v>
      </c>
      <c r="K105" s="320">
        <f>'Támogatás szorzat tényezői'!$C$2*'Támogatás szorzat tényezői'!$C$5*J105*(H105/1000)</f>
        <v>331056</v>
      </c>
      <c r="L105" s="300"/>
      <c r="M105" s="319">
        <f t="shared" si="1"/>
        <v>8</v>
      </c>
    </row>
    <row r="106" spans="1:13" ht="15.75" hidden="1" customHeight="1" x14ac:dyDescent="0.25">
      <c r="A106" s="319">
        <v>120</v>
      </c>
      <c r="B106" s="298" t="s">
        <v>3545</v>
      </c>
      <c r="C106" s="313" t="s">
        <v>1647</v>
      </c>
      <c r="D106" s="317" t="s">
        <v>3546</v>
      </c>
      <c r="E106" s="317" t="s">
        <v>3455</v>
      </c>
      <c r="F106" s="317" t="s">
        <v>3464</v>
      </c>
      <c r="G106" s="299" t="s">
        <v>1353</v>
      </c>
      <c r="H106" s="299">
        <v>350</v>
      </c>
      <c r="I106" s="299">
        <v>400</v>
      </c>
      <c r="J106" s="298">
        <f>IF(OR(G106="ágazaton kívüli",G106="n.a."),2.2,IF(OR(E106=2,E106=3,E106=4),VLOOKUP(G106,Szakmaszorzók!$B$2:$D$25,2,0),VLOOKUP(G106,Szakmaszorzók!$B$2:$D$25,3,0)))</f>
        <v>2.2000000000000002</v>
      </c>
      <c r="K106" s="320">
        <f>'Támogatás szorzat tényezői'!$C$2*'Támogatás szorzat tényezői'!$C$5*J106*(H106/1000)</f>
        <v>277200</v>
      </c>
      <c r="L106" s="300"/>
      <c r="M106" s="319">
        <f t="shared" si="1"/>
        <v>8</v>
      </c>
    </row>
    <row r="107" spans="1:13" ht="15.75" hidden="1" customHeight="1" x14ac:dyDescent="0.25">
      <c r="A107" s="319">
        <v>18</v>
      </c>
      <c r="B107" s="298" t="s">
        <v>3479</v>
      </c>
      <c r="C107" s="313" t="s">
        <v>2879</v>
      </c>
      <c r="D107" s="317" t="s">
        <v>1302</v>
      </c>
      <c r="E107" s="317" t="s">
        <v>3458</v>
      </c>
      <c r="F107" s="317" t="s">
        <v>3480</v>
      </c>
      <c r="G107" s="299" t="s">
        <v>1287</v>
      </c>
      <c r="H107" s="299">
        <v>500</v>
      </c>
      <c r="I107" s="299">
        <v>600</v>
      </c>
      <c r="J107" s="298">
        <f>IF(OR(G107="ágazaton kívüli",G107="n.a."),2.2,IF(OR(E107=2,E107=3,E107=4),VLOOKUP(G107,Szakmaszorzók!$B$2:$D$25,2,0),VLOOKUP(G107,Szakmaszorzók!$B$2:$D$25,3,0)))</f>
        <v>2.85</v>
      </c>
      <c r="K107" s="320">
        <f>'Támogatás szorzat tényezői'!$C$2*'Támogatás szorzat tényezői'!$C$5*J107*(H107/1000)</f>
        <v>513000</v>
      </c>
      <c r="L107" s="300"/>
      <c r="M107" s="319">
        <f t="shared" si="1"/>
        <v>8</v>
      </c>
    </row>
    <row r="108" spans="1:13" ht="15.75" hidden="1" customHeight="1" x14ac:dyDescent="0.25">
      <c r="A108" s="319">
        <v>95</v>
      </c>
      <c r="B108" s="298" t="s">
        <v>2918</v>
      </c>
      <c r="C108" s="313" t="s">
        <v>1468</v>
      </c>
      <c r="D108" s="317" t="s">
        <v>1281</v>
      </c>
      <c r="E108" s="317" t="s">
        <v>3458</v>
      </c>
      <c r="F108" s="317" t="s">
        <v>3461</v>
      </c>
      <c r="G108" s="299" t="s">
        <v>1280</v>
      </c>
      <c r="H108" s="299">
        <v>200</v>
      </c>
      <c r="I108" s="299">
        <v>350</v>
      </c>
      <c r="J108" s="298">
        <f>IF(OR(G108="ágazaton kívüli",G108="n.a."),2.2,IF(OR(E108=2,E108=3,E108=4),VLOOKUP(G108,Szakmaszorzók!$B$2:$D$25,2,0),VLOOKUP(G108,Szakmaszorzók!$B$2:$D$25,3,0)))</f>
        <v>2.85</v>
      </c>
      <c r="K108" s="320">
        <f>'Támogatás szorzat tényezői'!$C$2*'Támogatás szorzat tényezői'!$C$5*J108*(H108/1000)</f>
        <v>205200</v>
      </c>
      <c r="L108" s="300"/>
      <c r="M108" s="319">
        <f t="shared" si="1"/>
        <v>8</v>
      </c>
    </row>
    <row r="109" spans="1:13" ht="15.75" hidden="1" customHeight="1" x14ac:dyDescent="0.25">
      <c r="A109" s="319">
        <v>67</v>
      </c>
      <c r="B109" s="298" t="s">
        <v>3516</v>
      </c>
      <c r="C109" s="313" t="s">
        <v>2897</v>
      </c>
      <c r="D109" s="317" t="s">
        <v>1972</v>
      </c>
      <c r="E109" s="317" t="s">
        <v>3455</v>
      </c>
      <c r="F109" s="317" t="s">
        <v>3462</v>
      </c>
      <c r="G109" s="299" t="s">
        <v>1285</v>
      </c>
      <c r="H109" s="299">
        <v>600</v>
      </c>
      <c r="I109" s="299">
        <v>660</v>
      </c>
      <c r="J109" s="298">
        <f>IF(OR(G109="ágazaton kívüli",G109="n.a."),2.2,IF(OR(E109=2,E109=3,E109=4),VLOOKUP(G109,Szakmaszorzók!$B$2:$D$25,2,0),VLOOKUP(G109,Szakmaszorzók!$B$2:$D$25,3,0)))</f>
        <v>2.2000000000000002</v>
      </c>
      <c r="K109" s="320">
        <f>'Támogatás szorzat tényezői'!$C$2*'Támogatás szorzat tényezői'!$C$5*J109*(H109/1000)</f>
        <v>475200.00000000006</v>
      </c>
      <c r="L109" s="300"/>
      <c r="M109" s="319">
        <f t="shared" si="1"/>
        <v>8</v>
      </c>
    </row>
    <row r="110" spans="1:13" ht="15.75" hidden="1" customHeight="1" x14ac:dyDescent="0.25">
      <c r="A110" s="319">
        <v>68</v>
      </c>
      <c r="B110" s="298" t="s">
        <v>2903</v>
      </c>
      <c r="C110" s="313" t="s">
        <v>2785</v>
      </c>
      <c r="D110" s="317" t="s">
        <v>1384</v>
      </c>
      <c r="E110" s="317" t="s">
        <v>3459</v>
      </c>
      <c r="F110" s="317" t="s">
        <v>3456</v>
      </c>
      <c r="G110" s="299" t="s">
        <v>1285</v>
      </c>
      <c r="H110" s="299">
        <v>300</v>
      </c>
      <c r="I110" s="299">
        <v>360</v>
      </c>
      <c r="J110" s="298">
        <f>IF(OR(G110="ágazaton kívüli",G110="n.a."),2.2,IF(OR(E110=2,E110=3,E110=4),VLOOKUP(G110,Szakmaszorzók!$B$2:$D$25,2,0),VLOOKUP(G110,Szakmaszorzók!$B$2:$D$25,3,0)))</f>
        <v>2.2000000000000002</v>
      </c>
      <c r="K110" s="320">
        <f>'Támogatás szorzat tényezői'!$C$2*'Támogatás szorzat tényezői'!$C$5*J110*(H110/1000)</f>
        <v>237600.00000000003</v>
      </c>
      <c r="L110" s="300"/>
      <c r="M110" s="319">
        <f t="shared" si="1"/>
        <v>8</v>
      </c>
    </row>
    <row r="111" spans="1:13" ht="15.75" hidden="1" customHeight="1" x14ac:dyDescent="0.25">
      <c r="A111" s="319">
        <v>19</v>
      </c>
      <c r="B111" s="298" t="s">
        <v>174</v>
      </c>
      <c r="C111" s="313" t="s">
        <v>1469</v>
      </c>
      <c r="D111" s="317" t="s">
        <v>1339</v>
      </c>
      <c r="E111" s="317" t="s">
        <v>3455</v>
      </c>
      <c r="F111" s="317" t="s">
        <v>3481</v>
      </c>
      <c r="G111" s="299" t="s">
        <v>1280</v>
      </c>
      <c r="H111" s="299">
        <v>480</v>
      </c>
      <c r="I111" s="299">
        <v>720</v>
      </c>
      <c r="J111" s="298">
        <f>IF(OR(G111="ágazaton kívüli",G111="n.a."),2.2,IF(OR(E111=2,E111=3,E111=4),VLOOKUP(G111,Szakmaszorzók!$B$2:$D$25,2,0),VLOOKUP(G111,Szakmaszorzók!$B$2:$D$25,3,0)))</f>
        <v>2.85</v>
      </c>
      <c r="K111" s="320">
        <f>'Támogatás szorzat tényezői'!$C$2*'Támogatás szorzat tényezői'!$C$5*J111*(H111/1000)</f>
        <v>492480</v>
      </c>
      <c r="L111" s="300"/>
      <c r="M111" s="319">
        <f t="shared" si="1"/>
        <v>8</v>
      </c>
    </row>
    <row r="112" spans="1:13" ht="15.75" hidden="1" customHeight="1" x14ac:dyDescent="0.25">
      <c r="A112" s="319">
        <v>69</v>
      </c>
      <c r="B112" s="298" t="s">
        <v>3517</v>
      </c>
      <c r="C112" s="313" t="s">
        <v>2901</v>
      </c>
      <c r="D112" s="317" t="s">
        <v>3518</v>
      </c>
      <c r="E112" s="317" t="s">
        <v>3455</v>
      </c>
      <c r="F112" s="317" t="s">
        <v>3456</v>
      </c>
      <c r="G112" s="299" t="s">
        <v>1285</v>
      </c>
      <c r="H112" s="299">
        <v>600</v>
      </c>
      <c r="I112" s="299">
        <v>660</v>
      </c>
      <c r="J112" s="298">
        <f>IF(OR(G112="ágazaton kívüli",G112="n.a."),2.2,IF(OR(E112=2,E112=3,E112=4),VLOOKUP(G112,Szakmaszorzók!$B$2:$D$25,2,0),VLOOKUP(G112,Szakmaszorzók!$B$2:$D$25,3,0)))</f>
        <v>2.2000000000000002</v>
      </c>
      <c r="K112" s="320">
        <f>'Támogatás szorzat tényezői'!$C$2*'Támogatás szorzat tényezői'!$C$5*J112*(H112/1000)</f>
        <v>475200.00000000006</v>
      </c>
      <c r="L112" s="300"/>
      <c r="M112" s="319">
        <f t="shared" si="1"/>
        <v>8</v>
      </c>
    </row>
    <row r="113" spans="1:13" ht="15.75" hidden="1" customHeight="1" x14ac:dyDescent="0.25">
      <c r="A113" s="319">
        <v>179</v>
      </c>
      <c r="B113" s="298" t="s">
        <v>2996</v>
      </c>
      <c r="C113" s="314" t="s">
        <v>2997</v>
      </c>
      <c r="D113" s="317" t="s">
        <v>1360</v>
      </c>
      <c r="E113" s="317" t="s">
        <v>3455</v>
      </c>
      <c r="F113" s="317" t="s">
        <v>3578</v>
      </c>
      <c r="G113" s="308" t="s">
        <v>1883</v>
      </c>
      <c r="H113" s="308" t="s">
        <v>1883</v>
      </c>
      <c r="I113" s="308" t="s">
        <v>1883</v>
      </c>
      <c r="J113" s="298">
        <f>IF(OR(G113="ágazaton kívüli",G113="n.a."),2.2,IF(OR(E113=2,E113=3,E113=4),VLOOKUP(G113,Szakmaszorzók!$B$2:$D$25,2,0),VLOOKUP(G113,Szakmaszorzók!$B$2:$D$25,3,0)))</f>
        <v>2.2000000000000002</v>
      </c>
      <c r="K113" s="320" t="e">
        <f>'Támogatás szorzat tényezői'!$C$2*'Támogatás szorzat tényezői'!$C$5*J113*(H113/1000)</f>
        <v>#VALUE!</v>
      </c>
      <c r="L113" s="301"/>
      <c r="M113" s="319">
        <f t="shared" si="1"/>
        <v>8</v>
      </c>
    </row>
    <row r="114" spans="1:13" ht="15.75" hidden="1" customHeight="1" x14ac:dyDescent="0.25">
      <c r="A114" s="319">
        <v>180</v>
      </c>
      <c r="B114" s="298" t="s">
        <v>2984</v>
      </c>
      <c r="C114" s="314" t="s">
        <v>2985</v>
      </c>
      <c r="D114" s="317" t="s">
        <v>1360</v>
      </c>
      <c r="E114" s="317" t="s">
        <v>3455</v>
      </c>
      <c r="F114" s="317" t="s">
        <v>3579</v>
      </c>
      <c r="G114" s="308" t="s">
        <v>1883</v>
      </c>
      <c r="H114" s="308" t="s">
        <v>1883</v>
      </c>
      <c r="I114" s="308" t="s">
        <v>1883</v>
      </c>
      <c r="J114" s="298">
        <f>IF(OR(G114="ágazaton kívüli",G114="n.a."),2.2,IF(OR(E114=2,E114=3,E114=4),VLOOKUP(G114,Szakmaszorzók!$B$2:$D$25,2,0),VLOOKUP(G114,Szakmaszorzók!$B$2:$D$25,3,0)))</f>
        <v>2.2000000000000002</v>
      </c>
      <c r="K114" s="320" t="e">
        <f>'Támogatás szorzat tényezői'!$C$2*'Támogatás szorzat tényezői'!$C$5*J114*(H114/1000)</f>
        <v>#VALUE!</v>
      </c>
      <c r="L114" s="301"/>
      <c r="M114" s="319">
        <f t="shared" si="1"/>
        <v>8</v>
      </c>
    </row>
    <row r="115" spans="1:13" ht="15.75" hidden="1" customHeight="1" x14ac:dyDescent="0.25">
      <c r="A115" s="319">
        <v>181</v>
      </c>
      <c r="B115" s="298" t="s">
        <v>2992</v>
      </c>
      <c r="C115" s="314" t="s">
        <v>2993</v>
      </c>
      <c r="D115" s="317" t="s">
        <v>1360</v>
      </c>
      <c r="E115" s="317" t="s">
        <v>3455</v>
      </c>
      <c r="F115" s="317" t="s">
        <v>3580</v>
      </c>
      <c r="G115" s="308" t="s">
        <v>1883</v>
      </c>
      <c r="H115" s="308" t="s">
        <v>1883</v>
      </c>
      <c r="I115" s="308" t="s">
        <v>1883</v>
      </c>
      <c r="J115" s="298">
        <f>IF(OR(G115="ágazaton kívüli",G115="n.a."),2.2,IF(OR(E115=2,E115=3,E115=4),VLOOKUP(G115,Szakmaszorzók!$B$2:$D$25,2,0),VLOOKUP(G115,Szakmaszorzók!$B$2:$D$25,3,0)))</f>
        <v>2.2000000000000002</v>
      </c>
      <c r="K115" s="320" t="e">
        <f>'Támogatás szorzat tényezői'!$C$2*'Támogatás szorzat tényezői'!$C$5*J115*(H115/1000)</f>
        <v>#VALUE!</v>
      </c>
      <c r="L115" s="301"/>
      <c r="M115" s="319">
        <f t="shared" si="1"/>
        <v>8</v>
      </c>
    </row>
    <row r="116" spans="1:13" ht="15.75" hidden="1" customHeight="1" x14ac:dyDescent="0.25">
      <c r="A116" s="319">
        <v>182</v>
      </c>
      <c r="B116" s="298" t="s">
        <v>2990</v>
      </c>
      <c r="C116" s="314" t="s">
        <v>2991</v>
      </c>
      <c r="D116" s="317" t="s">
        <v>1360</v>
      </c>
      <c r="E116" s="317" t="s">
        <v>3455</v>
      </c>
      <c r="F116" s="317" t="s">
        <v>3581</v>
      </c>
      <c r="G116" s="308" t="s">
        <v>1883</v>
      </c>
      <c r="H116" s="308" t="s">
        <v>1883</v>
      </c>
      <c r="I116" s="308" t="s">
        <v>1883</v>
      </c>
      <c r="J116" s="298">
        <f>IF(OR(G116="ágazaton kívüli",G116="n.a."),2.2,IF(OR(E116=2,E116=3,E116=4),VLOOKUP(G116,Szakmaszorzók!$B$2:$D$25,2,0),VLOOKUP(G116,Szakmaszorzók!$B$2:$D$25,3,0)))</f>
        <v>2.2000000000000002</v>
      </c>
      <c r="K116" s="320" t="e">
        <f>'Támogatás szorzat tényezői'!$C$2*'Támogatás szorzat tényezői'!$C$5*J116*(H116/1000)</f>
        <v>#VALUE!</v>
      </c>
      <c r="L116" s="301"/>
      <c r="M116" s="319">
        <f t="shared" si="1"/>
        <v>8</v>
      </c>
    </row>
    <row r="117" spans="1:13" ht="15.75" hidden="1" customHeight="1" x14ac:dyDescent="0.25">
      <c r="A117" s="319">
        <v>183</v>
      </c>
      <c r="B117" s="298" t="s">
        <v>2986</v>
      </c>
      <c r="C117" s="314" t="s">
        <v>2987</v>
      </c>
      <c r="D117" s="317" t="s">
        <v>1360</v>
      </c>
      <c r="E117" s="317" t="s">
        <v>3455</v>
      </c>
      <c r="F117" s="317" t="s">
        <v>3582</v>
      </c>
      <c r="G117" s="308" t="s">
        <v>1883</v>
      </c>
      <c r="H117" s="308" t="s">
        <v>1883</v>
      </c>
      <c r="I117" s="308" t="s">
        <v>1883</v>
      </c>
      <c r="J117" s="298">
        <f>IF(OR(G117="ágazaton kívüli",G117="n.a."),2.2,IF(OR(E117=2,E117=3,E117=4),VLOOKUP(G117,Szakmaszorzók!$B$2:$D$25,2,0),VLOOKUP(G117,Szakmaszorzók!$B$2:$D$25,3,0)))</f>
        <v>2.2000000000000002</v>
      </c>
      <c r="K117" s="320" t="e">
        <f>'Támogatás szorzat tényezői'!$C$2*'Támogatás szorzat tényezői'!$C$5*J117*(H117/1000)</f>
        <v>#VALUE!</v>
      </c>
      <c r="L117" s="301"/>
      <c r="M117" s="319">
        <f t="shared" si="1"/>
        <v>8</v>
      </c>
    </row>
    <row r="118" spans="1:13" ht="15.75" hidden="1" customHeight="1" x14ac:dyDescent="0.25">
      <c r="A118" s="319">
        <v>184</v>
      </c>
      <c r="B118" s="298" t="s">
        <v>2988</v>
      </c>
      <c r="C118" s="314" t="s">
        <v>2989</v>
      </c>
      <c r="D118" s="317" t="s">
        <v>1360</v>
      </c>
      <c r="E118" s="317" t="s">
        <v>3455</v>
      </c>
      <c r="F118" s="317" t="s">
        <v>3583</v>
      </c>
      <c r="G118" s="308" t="s">
        <v>1883</v>
      </c>
      <c r="H118" s="308" t="s">
        <v>1883</v>
      </c>
      <c r="I118" s="308" t="s">
        <v>1883</v>
      </c>
      <c r="J118" s="298">
        <f>IF(OR(G118="ágazaton kívüli",G118="n.a."),2.2,IF(OR(E118=2,E118=3,E118=4),VLOOKUP(G118,Szakmaszorzók!$B$2:$D$25,2,0),VLOOKUP(G118,Szakmaszorzók!$B$2:$D$25,3,0)))</f>
        <v>2.2000000000000002</v>
      </c>
      <c r="K118" s="320" t="e">
        <f>'Támogatás szorzat tényezői'!$C$2*'Támogatás szorzat tényezői'!$C$5*J118*(H118/1000)</f>
        <v>#VALUE!</v>
      </c>
      <c r="L118" s="301"/>
      <c r="M118" s="319">
        <f t="shared" si="1"/>
        <v>8</v>
      </c>
    </row>
    <row r="119" spans="1:13" ht="15.75" hidden="1" customHeight="1" x14ac:dyDescent="0.25">
      <c r="A119" s="319">
        <v>185</v>
      </c>
      <c r="B119" s="298" t="s">
        <v>2994</v>
      </c>
      <c r="C119" s="314" t="s">
        <v>2995</v>
      </c>
      <c r="D119" s="317" t="s">
        <v>1360</v>
      </c>
      <c r="E119" s="317" t="s">
        <v>3455</v>
      </c>
      <c r="F119" s="317" t="s">
        <v>3584</v>
      </c>
      <c r="G119" s="308" t="s">
        <v>1883</v>
      </c>
      <c r="H119" s="308" t="s">
        <v>1883</v>
      </c>
      <c r="I119" s="308" t="s">
        <v>1883</v>
      </c>
      <c r="J119" s="298">
        <f>IF(OR(G119="ágazaton kívüli",G119="n.a."),2.2,IF(OR(E119=2,E119=3,E119=4),VLOOKUP(G119,Szakmaszorzók!$B$2:$D$25,2,0),VLOOKUP(G119,Szakmaszorzók!$B$2:$D$25,3,0)))</f>
        <v>2.2000000000000002</v>
      </c>
      <c r="K119" s="320" t="e">
        <f>'Támogatás szorzat tényezői'!$C$2*'Támogatás szorzat tényezői'!$C$5*J119*(H119/1000)</f>
        <v>#VALUE!</v>
      </c>
      <c r="L119" s="301"/>
      <c r="M119" s="319">
        <f t="shared" si="1"/>
        <v>8</v>
      </c>
    </row>
    <row r="120" spans="1:13" ht="15.75" hidden="1" customHeight="1" x14ac:dyDescent="0.25">
      <c r="A120" s="319">
        <v>186</v>
      </c>
      <c r="B120" s="298" t="s">
        <v>2982</v>
      </c>
      <c r="C120" s="314" t="s">
        <v>2983</v>
      </c>
      <c r="D120" s="317" t="s">
        <v>1360</v>
      </c>
      <c r="E120" s="317" t="s">
        <v>3459</v>
      </c>
      <c r="F120" s="317" t="s">
        <v>3585</v>
      </c>
      <c r="G120" s="308" t="s">
        <v>1883</v>
      </c>
      <c r="H120" s="308" t="s">
        <v>1883</v>
      </c>
      <c r="I120" s="308" t="s">
        <v>1883</v>
      </c>
      <c r="J120" s="298">
        <f>IF(OR(G120="ágazaton kívüli",G120="n.a."),2.2,IF(OR(E120=2,E120=3,E120=4),VLOOKUP(G120,Szakmaszorzók!$B$2:$D$25,2,0),VLOOKUP(G120,Szakmaszorzók!$B$2:$D$25,3,0)))</f>
        <v>2.2000000000000002</v>
      </c>
      <c r="K120" s="320" t="e">
        <f>'Támogatás szorzat tényezői'!$C$2*'Támogatás szorzat tényezői'!$C$5*J120*(H120/1000)</f>
        <v>#VALUE!</v>
      </c>
      <c r="L120" s="301"/>
      <c r="M120" s="319">
        <f t="shared" si="1"/>
        <v>8</v>
      </c>
    </row>
    <row r="121" spans="1:13" ht="15.75" hidden="1" customHeight="1" x14ac:dyDescent="0.25">
      <c r="A121" s="319">
        <v>187</v>
      </c>
      <c r="B121" s="298" t="s">
        <v>2970</v>
      </c>
      <c r="C121" s="313" t="s">
        <v>2971</v>
      </c>
      <c r="D121" s="317" t="s">
        <v>1360</v>
      </c>
      <c r="E121" s="317" t="s">
        <v>3459</v>
      </c>
      <c r="F121" s="317" t="s">
        <v>3500</v>
      </c>
      <c r="G121" s="308" t="s">
        <v>1883</v>
      </c>
      <c r="H121" s="308" t="s">
        <v>1883</v>
      </c>
      <c r="I121" s="308" t="s">
        <v>1883</v>
      </c>
      <c r="J121" s="298">
        <f>IF(OR(G121="ágazaton kívüli",G121="n.a."),2.2,IF(OR(E121=2,E121=3,E121=4),VLOOKUP(G121,Szakmaszorzók!$B$2:$D$25,2,0),VLOOKUP(G121,Szakmaszorzók!$B$2:$D$25,3,0)))</f>
        <v>2.2000000000000002</v>
      </c>
      <c r="K121" s="320" t="e">
        <f>'Támogatás szorzat tényezői'!$C$2*'Támogatás szorzat tényezői'!$C$5*J121*(H121/1000)</f>
        <v>#VALUE!</v>
      </c>
      <c r="L121" s="300"/>
      <c r="M121" s="319">
        <f t="shared" si="1"/>
        <v>8</v>
      </c>
    </row>
    <row r="122" spans="1:13" ht="15.75" hidden="1" customHeight="1" x14ac:dyDescent="0.25">
      <c r="A122" s="319">
        <v>188</v>
      </c>
      <c r="B122" s="298" t="s">
        <v>2978</v>
      </c>
      <c r="C122" s="313" t="s">
        <v>2979</v>
      </c>
      <c r="D122" s="317" t="s">
        <v>1360</v>
      </c>
      <c r="E122" s="317" t="s">
        <v>3459</v>
      </c>
      <c r="F122" s="317" t="s">
        <v>3475</v>
      </c>
      <c r="G122" s="308" t="s">
        <v>1883</v>
      </c>
      <c r="H122" s="308" t="s">
        <v>1883</v>
      </c>
      <c r="I122" s="308" t="s">
        <v>1883</v>
      </c>
      <c r="J122" s="298">
        <f>IF(OR(G122="ágazaton kívüli",G122="n.a."),2.2,IF(OR(E122=2,E122=3,E122=4),VLOOKUP(G122,Szakmaszorzók!$B$2:$D$25,2,0),VLOOKUP(G122,Szakmaszorzók!$B$2:$D$25,3,0)))</f>
        <v>2.2000000000000002</v>
      </c>
      <c r="K122" s="320" t="e">
        <f>'Támogatás szorzat tényezői'!$C$2*'Támogatás szorzat tényezői'!$C$5*J122*(H122/1000)</f>
        <v>#VALUE!</v>
      </c>
      <c r="L122" s="300"/>
      <c r="M122" s="319">
        <f t="shared" si="1"/>
        <v>8</v>
      </c>
    </row>
    <row r="123" spans="1:13" ht="15.75" hidden="1" customHeight="1" x14ac:dyDescent="0.25">
      <c r="A123" s="319">
        <v>189</v>
      </c>
      <c r="B123" s="298" t="s">
        <v>2976</v>
      </c>
      <c r="C123" s="313" t="s">
        <v>2977</v>
      </c>
      <c r="D123" s="317" t="s">
        <v>1360</v>
      </c>
      <c r="E123" s="317" t="s">
        <v>3459</v>
      </c>
      <c r="F123" s="317" t="s">
        <v>3496</v>
      </c>
      <c r="G123" s="308" t="s">
        <v>1883</v>
      </c>
      <c r="H123" s="308" t="s">
        <v>1883</v>
      </c>
      <c r="I123" s="308" t="s">
        <v>1883</v>
      </c>
      <c r="J123" s="298">
        <f>IF(OR(G123="ágazaton kívüli",G123="n.a."),2.2,IF(OR(E123=2,E123=3,E123=4),VLOOKUP(G123,Szakmaszorzók!$B$2:$D$25,2,0),VLOOKUP(G123,Szakmaszorzók!$B$2:$D$25,3,0)))</f>
        <v>2.2000000000000002</v>
      </c>
      <c r="K123" s="320" t="e">
        <f>'Támogatás szorzat tényezői'!$C$2*'Támogatás szorzat tényezői'!$C$5*J123*(H123/1000)</f>
        <v>#VALUE!</v>
      </c>
      <c r="L123" s="300"/>
      <c r="M123" s="319">
        <f t="shared" si="1"/>
        <v>8</v>
      </c>
    </row>
    <row r="124" spans="1:13" ht="15.75" hidden="1" customHeight="1" x14ac:dyDescent="0.25">
      <c r="A124" s="319">
        <v>190</v>
      </c>
      <c r="B124" s="298" t="s">
        <v>2972</v>
      </c>
      <c r="C124" s="313" t="s">
        <v>2973</v>
      </c>
      <c r="D124" s="317" t="s">
        <v>1360</v>
      </c>
      <c r="E124" s="317" t="s">
        <v>3459</v>
      </c>
      <c r="F124" s="317" t="s">
        <v>3499</v>
      </c>
      <c r="G124" s="308" t="s">
        <v>1883</v>
      </c>
      <c r="H124" s="308" t="s">
        <v>1883</v>
      </c>
      <c r="I124" s="308" t="s">
        <v>1883</v>
      </c>
      <c r="J124" s="298">
        <f>IF(OR(G124="ágazaton kívüli",G124="n.a."),2.2,IF(OR(E124=2,E124=3,E124=4),VLOOKUP(G124,Szakmaszorzók!$B$2:$D$25,2,0),VLOOKUP(G124,Szakmaszorzók!$B$2:$D$25,3,0)))</f>
        <v>2.2000000000000002</v>
      </c>
      <c r="K124" s="320" t="e">
        <f>'Támogatás szorzat tényezői'!$C$2*'Támogatás szorzat tényezői'!$C$5*J124*(H124/1000)</f>
        <v>#VALUE!</v>
      </c>
      <c r="L124" s="300"/>
      <c r="M124" s="319">
        <f t="shared" si="1"/>
        <v>8</v>
      </c>
    </row>
    <row r="125" spans="1:13" ht="15.75" hidden="1" customHeight="1" x14ac:dyDescent="0.25">
      <c r="A125" s="319">
        <v>191</v>
      </c>
      <c r="B125" s="298" t="s">
        <v>2974</v>
      </c>
      <c r="C125" s="313" t="s">
        <v>2975</v>
      </c>
      <c r="D125" s="317" t="s">
        <v>1360</v>
      </c>
      <c r="E125" s="317" t="s">
        <v>3459</v>
      </c>
      <c r="F125" s="317" t="s">
        <v>3498</v>
      </c>
      <c r="G125" s="308" t="s">
        <v>1883</v>
      </c>
      <c r="H125" s="308" t="s">
        <v>1883</v>
      </c>
      <c r="I125" s="308" t="s">
        <v>1883</v>
      </c>
      <c r="J125" s="298">
        <f>IF(OR(G125="ágazaton kívüli",G125="n.a."),2.2,IF(OR(E125=2,E125=3,E125=4),VLOOKUP(G125,Szakmaszorzók!$B$2:$D$25,2,0),VLOOKUP(G125,Szakmaszorzók!$B$2:$D$25,3,0)))</f>
        <v>2.2000000000000002</v>
      </c>
      <c r="K125" s="320" t="e">
        <f>'Támogatás szorzat tényezői'!$C$2*'Támogatás szorzat tényezői'!$C$5*J125*(H125/1000)</f>
        <v>#VALUE!</v>
      </c>
      <c r="L125" s="300"/>
      <c r="M125" s="319">
        <f t="shared" si="1"/>
        <v>8</v>
      </c>
    </row>
    <row r="126" spans="1:13" ht="15.75" hidden="1" customHeight="1" x14ac:dyDescent="0.25">
      <c r="A126" s="319">
        <v>192</v>
      </c>
      <c r="B126" s="298" t="s">
        <v>2980</v>
      </c>
      <c r="C126" s="313" t="s">
        <v>2981</v>
      </c>
      <c r="D126" s="317" t="s">
        <v>1360</v>
      </c>
      <c r="E126" s="317" t="s">
        <v>3459</v>
      </c>
      <c r="F126" s="317" t="s">
        <v>3507</v>
      </c>
      <c r="G126" s="308" t="s">
        <v>1883</v>
      </c>
      <c r="H126" s="308" t="s">
        <v>1883</v>
      </c>
      <c r="I126" s="308" t="s">
        <v>1883</v>
      </c>
      <c r="J126" s="298">
        <f>IF(OR(G126="ágazaton kívüli",G126="n.a."),2.2,IF(OR(E126=2,E126=3,E126=4),VLOOKUP(G126,Szakmaszorzók!$B$2:$D$25,2,0),VLOOKUP(G126,Szakmaszorzók!$B$2:$D$25,3,0)))</f>
        <v>2.2000000000000002</v>
      </c>
      <c r="K126" s="320" t="e">
        <f>'Támogatás szorzat tényezői'!$C$2*'Támogatás szorzat tényezői'!$C$5*J126*(H126/1000)</f>
        <v>#VALUE!</v>
      </c>
      <c r="L126" s="300"/>
      <c r="M126" s="319">
        <f t="shared" si="1"/>
        <v>8</v>
      </c>
    </row>
    <row r="127" spans="1:13" ht="15.75" hidden="1" customHeight="1" x14ac:dyDescent="0.25">
      <c r="A127" s="319">
        <v>386</v>
      </c>
      <c r="B127" s="298" t="s">
        <v>3172</v>
      </c>
      <c r="C127" s="313" t="s">
        <v>3173</v>
      </c>
      <c r="D127" s="317" t="s">
        <v>3739</v>
      </c>
      <c r="E127" s="317" t="s">
        <v>3459</v>
      </c>
      <c r="F127" s="317" t="s">
        <v>3481</v>
      </c>
      <c r="G127" s="7" t="s">
        <v>1373</v>
      </c>
      <c r="H127" s="296">
        <v>1100</v>
      </c>
      <c r="I127" s="296">
        <v>1500</v>
      </c>
      <c r="J127" s="298">
        <f>IF(OR(G127="ágazaton kívüli",G127="n.a."),2.2,IF(OR(E127=2,E127=3,E127=4),VLOOKUP(G127,Szakmaszorzók!$B$2:$D$25,2,0),VLOOKUP(G127,Szakmaszorzók!$B$2:$D$25,3,0)))</f>
        <v>2.2000000000000002</v>
      </c>
      <c r="K127" s="320">
        <f>'Támogatás szorzat tényezői'!$C$2*'Támogatás szorzat tényezői'!$C$5*J127*(H127/1000)</f>
        <v>871200.00000000023</v>
      </c>
      <c r="L127" s="300"/>
      <c r="M127" s="319">
        <f t="shared" si="1"/>
        <v>8</v>
      </c>
    </row>
    <row r="128" spans="1:13" ht="15.75" hidden="1" customHeight="1" x14ac:dyDescent="0.25">
      <c r="A128" s="319">
        <v>20</v>
      </c>
      <c r="B128" s="298" t="s">
        <v>3482</v>
      </c>
      <c r="C128" s="313" t="s">
        <v>1470</v>
      </c>
      <c r="D128" s="317" t="s">
        <v>1311</v>
      </c>
      <c r="E128" s="317" t="s">
        <v>3455</v>
      </c>
      <c r="F128" s="317" t="s">
        <v>3483</v>
      </c>
      <c r="G128" s="299" t="s">
        <v>1290</v>
      </c>
      <c r="H128" s="299">
        <v>600</v>
      </c>
      <c r="I128" s="299">
        <v>900</v>
      </c>
      <c r="J128" s="298">
        <f>IF(OR(G128="ágazaton kívüli",G128="n.a."),2.2,IF(OR(E128=2,E128=3,E128=4),VLOOKUP(G128,Szakmaszorzók!$B$2:$D$25,2,0),VLOOKUP(G128,Szakmaszorzók!$B$2:$D$25,3,0)))</f>
        <v>2.85</v>
      </c>
      <c r="K128" s="320">
        <f>'Támogatás szorzat tényezői'!$C$2*'Támogatás szorzat tényezői'!$C$5*J128*(H128/1000)</f>
        <v>615600</v>
      </c>
      <c r="L128" s="300"/>
      <c r="M128" s="319">
        <f t="shared" si="1"/>
        <v>8</v>
      </c>
    </row>
    <row r="129" spans="1:13" ht="15.75" hidden="1" customHeight="1" x14ac:dyDescent="0.25">
      <c r="A129" s="319">
        <v>21</v>
      </c>
      <c r="B129" s="298" t="s">
        <v>2877</v>
      </c>
      <c r="C129" s="313" t="s">
        <v>1672</v>
      </c>
      <c r="D129" s="317" t="s">
        <v>1302</v>
      </c>
      <c r="E129" s="317" t="s">
        <v>3458</v>
      </c>
      <c r="F129" s="317" t="s">
        <v>3484</v>
      </c>
      <c r="G129" s="299" t="s">
        <v>1293</v>
      </c>
      <c r="H129" s="299">
        <v>400</v>
      </c>
      <c r="I129" s="299">
        <v>650</v>
      </c>
      <c r="J129" s="298">
        <f>IF(OR(G129="ágazaton kívüli",G129="n.a."),2.2,IF(OR(E129=2,E129=3,E129=4),VLOOKUP(G129,Szakmaszorzók!$B$2:$D$25,2,0),VLOOKUP(G129,Szakmaszorzók!$B$2:$D$25,3,0)))</f>
        <v>2.42</v>
      </c>
      <c r="K129" s="320">
        <f>'Támogatás szorzat tényezői'!$C$2*'Támogatás szorzat tényezői'!$C$5*J129*(H129/1000)</f>
        <v>348480</v>
      </c>
      <c r="L129" s="300"/>
      <c r="M129" s="319">
        <f t="shared" si="1"/>
        <v>8</v>
      </c>
    </row>
    <row r="130" spans="1:13" ht="15.75" hidden="1" customHeight="1" x14ac:dyDescent="0.25">
      <c r="A130" s="319">
        <v>22</v>
      </c>
      <c r="B130" s="298" t="s">
        <v>2871</v>
      </c>
      <c r="C130" s="314" t="s">
        <v>2872</v>
      </c>
      <c r="D130" s="317" t="s">
        <v>3457</v>
      </c>
      <c r="E130" s="317" t="s">
        <v>3458</v>
      </c>
      <c r="F130" s="317" t="s">
        <v>3464</v>
      </c>
      <c r="G130" s="7" t="s">
        <v>1301</v>
      </c>
      <c r="H130" s="7">
        <v>300</v>
      </c>
      <c r="I130" s="7">
        <v>400</v>
      </c>
      <c r="J130" s="298">
        <f>IF(OR(G130="ágazaton kívüli",G130="n.a."),2.2,IF(OR(E130=2,E130=3,E130=4),VLOOKUP(G130,Szakmaszorzók!$B$2:$D$25,2,0),VLOOKUP(G130,Szakmaszorzók!$B$2:$D$25,3,0)))</f>
        <v>2.85</v>
      </c>
      <c r="K130" s="320">
        <f>'Támogatás szorzat tényezői'!$C$2*'Támogatás szorzat tényezői'!$C$5*J130*(H130/1000)</f>
        <v>307800</v>
      </c>
      <c r="L130" s="301"/>
      <c r="M130" s="319">
        <f t="shared" ref="M130:M193" si="2">LEN(C130)</f>
        <v>8</v>
      </c>
    </row>
    <row r="131" spans="1:13" ht="15.75" hidden="1" customHeight="1" x14ac:dyDescent="0.25">
      <c r="A131" s="319">
        <v>77</v>
      </c>
      <c r="B131" s="298" t="s">
        <v>2908</v>
      </c>
      <c r="C131" s="313" t="s">
        <v>1471</v>
      </c>
      <c r="D131" s="317" t="s">
        <v>1283</v>
      </c>
      <c r="E131" s="317" t="s">
        <v>3458</v>
      </c>
      <c r="F131" s="317" t="s">
        <v>3505</v>
      </c>
      <c r="G131" s="299" t="s">
        <v>1282</v>
      </c>
      <c r="H131" s="299">
        <v>300</v>
      </c>
      <c r="I131" s="299">
        <v>400</v>
      </c>
      <c r="J131" s="298">
        <f>IF(OR(G131="ágazaton kívüli",G131="n.a."),2.2,IF(OR(E131=2,E131=3,E131=4),VLOOKUP(G131,Szakmaszorzók!$B$2:$D$25,2,0),VLOOKUP(G131,Szakmaszorzók!$B$2:$D$25,3,0)))</f>
        <v>2.42</v>
      </c>
      <c r="K131" s="320">
        <f>'Támogatás szorzat tényezői'!$C$2*'Támogatás szorzat tényezői'!$C$5*J131*(H131/1000)</f>
        <v>261360</v>
      </c>
      <c r="L131" s="300"/>
      <c r="M131" s="319">
        <f t="shared" si="2"/>
        <v>8</v>
      </c>
    </row>
    <row r="132" spans="1:13" ht="15.75" hidden="1" customHeight="1" x14ac:dyDescent="0.25">
      <c r="A132" s="319">
        <v>70</v>
      </c>
      <c r="B132" s="298" t="s">
        <v>2899</v>
      </c>
      <c r="C132" s="314" t="s">
        <v>2900</v>
      </c>
      <c r="D132" s="317" t="s">
        <v>1972</v>
      </c>
      <c r="E132" s="317" t="s">
        <v>3455</v>
      </c>
      <c r="F132" s="317" t="s">
        <v>3502</v>
      </c>
      <c r="G132" s="7" t="s">
        <v>1285</v>
      </c>
      <c r="H132" s="7">
        <v>500</v>
      </c>
      <c r="I132" s="7">
        <v>720</v>
      </c>
      <c r="J132" s="298">
        <f>IF(OR(G132="ágazaton kívüli",G132="n.a."),2.2,IF(OR(E132=2,E132=3,E132=4),VLOOKUP(G132,Szakmaszorzók!$B$2:$D$25,2,0),VLOOKUP(G132,Szakmaszorzók!$B$2:$D$25,3,0)))</f>
        <v>2.2000000000000002</v>
      </c>
      <c r="K132" s="320">
        <f>'Támogatás szorzat tényezői'!$C$2*'Támogatás szorzat tényezői'!$C$5*J132*(H132/1000)</f>
        <v>396000.00000000006</v>
      </c>
      <c r="L132" s="301"/>
      <c r="M132" s="319">
        <f t="shared" si="2"/>
        <v>8</v>
      </c>
    </row>
    <row r="133" spans="1:13" ht="15.75" hidden="1" customHeight="1" x14ac:dyDescent="0.25">
      <c r="A133" s="319">
        <v>23</v>
      </c>
      <c r="B133" s="298" t="s">
        <v>2857</v>
      </c>
      <c r="C133" s="313" t="s">
        <v>1472</v>
      </c>
      <c r="D133" s="317" t="s">
        <v>1311</v>
      </c>
      <c r="E133" s="317" t="s">
        <v>3458</v>
      </c>
      <c r="F133" s="317" t="s">
        <v>3462</v>
      </c>
      <c r="G133" s="299" t="s">
        <v>1315</v>
      </c>
      <c r="H133" s="299">
        <v>150</v>
      </c>
      <c r="I133" s="299">
        <v>250</v>
      </c>
      <c r="J133" s="298">
        <f>IF(OR(G133="ágazaton kívüli",G133="n.a."),2.2,IF(OR(E133=2,E133=3,E133=4),VLOOKUP(G133,Szakmaszorzók!$B$2:$D$25,2,0),VLOOKUP(G133,Szakmaszorzók!$B$2:$D$25,3,0)))</f>
        <v>2.42</v>
      </c>
      <c r="K133" s="320">
        <f>'Támogatás szorzat tényezői'!$C$2*'Támogatás szorzat tényezői'!$C$5*J133*(H133/1000)</f>
        <v>130680</v>
      </c>
      <c r="L133" s="300"/>
      <c r="M133" s="319">
        <f t="shared" si="2"/>
        <v>8</v>
      </c>
    </row>
    <row r="134" spans="1:13" ht="15.75" hidden="1" customHeight="1" x14ac:dyDescent="0.25">
      <c r="A134" s="319">
        <v>24</v>
      </c>
      <c r="B134" s="298" t="s">
        <v>170</v>
      </c>
      <c r="C134" s="313" t="s">
        <v>1473</v>
      </c>
      <c r="D134" s="317" t="s">
        <v>1311</v>
      </c>
      <c r="E134" s="317" t="s">
        <v>3459</v>
      </c>
      <c r="F134" s="317" t="s">
        <v>3456</v>
      </c>
      <c r="G134" s="299" t="s">
        <v>1315</v>
      </c>
      <c r="H134" s="299">
        <v>400</v>
      </c>
      <c r="I134" s="299">
        <v>500</v>
      </c>
      <c r="J134" s="298">
        <f>IF(OR(G134="ágazaton kívüli",G134="n.a."),2.2,IF(OR(E134=2,E134=3,E134=4),VLOOKUP(G134,Szakmaszorzók!$B$2:$D$25,2,0),VLOOKUP(G134,Szakmaszorzók!$B$2:$D$25,3,0)))</f>
        <v>2.42</v>
      </c>
      <c r="K134" s="320">
        <f>'Támogatás szorzat tényezői'!$C$2*'Támogatás szorzat tényezői'!$C$5*J134*(H134/1000)</f>
        <v>348480</v>
      </c>
      <c r="L134" s="300"/>
      <c r="M134" s="319">
        <f t="shared" si="2"/>
        <v>8</v>
      </c>
    </row>
    <row r="135" spans="1:13" ht="15.75" hidden="1" customHeight="1" x14ac:dyDescent="0.25">
      <c r="A135" s="319">
        <v>356</v>
      </c>
      <c r="B135" s="298" t="s">
        <v>3102</v>
      </c>
      <c r="C135" s="313" t="s">
        <v>2796</v>
      </c>
      <c r="D135" s="317" t="s">
        <v>1630</v>
      </c>
      <c r="E135" s="317" t="s">
        <v>3455</v>
      </c>
      <c r="F135" s="317" t="s">
        <v>3481</v>
      </c>
      <c r="G135" s="299" t="s">
        <v>1389</v>
      </c>
      <c r="H135" s="299">
        <v>240</v>
      </c>
      <c r="I135" s="299">
        <v>360</v>
      </c>
      <c r="J135" s="298">
        <f>IF(OR(G135="ágazaton kívüli",G135="n.a."),2.2,IF(OR(E135=2,E135=3,E135=4),VLOOKUP(G135,Szakmaszorzók!$B$2:$D$25,2,0),VLOOKUP(G135,Szakmaszorzók!$B$2:$D$25,3,0)))</f>
        <v>2.2000000000000002</v>
      </c>
      <c r="K135" s="320">
        <f>'Támogatás szorzat tényezői'!$C$2*'Támogatás szorzat tényezői'!$C$5*J135*(H135/1000)</f>
        <v>190080.00000000003</v>
      </c>
      <c r="L135" s="300"/>
      <c r="M135" s="319">
        <f t="shared" si="2"/>
        <v>8</v>
      </c>
    </row>
    <row r="136" spans="1:13" ht="15.75" hidden="1" customHeight="1" x14ac:dyDescent="0.25">
      <c r="A136" s="319">
        <v>121</v>
      </c>
      <c r="B136" s="298" t="s">
        <v>2928</v>
      </c>
      <c r="C136" s="313" t="s">
        <v>1646</v>
      </c>
      <c r="D136" s="317" t="s">
        <v>3546</v>
      </c>
      <c r="E136" s="317" t="s">
        <v>3455</v>
      </c>
      <c r="F136" s="317" t="s">
        <v>3456</v>
      </c>
      <c r="G136" s="299" t="s">
        <v>1353</v>
      </c>
      <c r="H136" s="299">
        <v>350</v>
      </c>
      <c r="I136" s="299">
        <v>400</v>
      </c>
      <c r="J136" s="298">
        <f>IF(OR(G136="ágazaton kívüli",G136="n.a."),2.2,IF(OR(E136=2,E136=3,E136=4),VLOOKUP(G136,Szakmaszorzók!$B$2:$D$25,2,0),VLOOKUP(G136,Szakmaszorzók!$B$2:$D$25,3,0)))</f>
        <v>2.2000000000000002</v>
      </c>
      <c r="K136" s="320">
        <f>'Támogatás szorzat tényezői'!$C$2*'Támogatás szorzat tényezői'!$C$5*J136*(H136/1000)</f>
        <v>277200</v>
      </c>
      <c r="L136" s="300"/>
      <c r="M136" s="319">
        <f t="shared" si="2"/>
        <v>8</v>
      </c>
    </row>
    <row r="137" spans="1:13" ht="15.75" hidden="1" customHeight="1" x14ac:dyDescent="0.25">
      <c r="A137" s="319">
        <v>122</v>
      </c>
      <c r="B137" s="298" t="s">
        <v>3547</v>
      </c>
      <c r="C137" s="313" t="s">
        <v>1649</v>
      </c>
      <c r="D137" s="317" t="s">
        <v>3546</v>
      </c>
      <c r="E137" s="317" t="s">
        <v>3455</v>
      </c>
      <c r="F137" s="317" t="s">
        <v>3462</v>
      </c>
      <c r="G137" s="299" t="s">
        <v>1353</v>
      </c>
      <c r="H137" s="299">
        <v>350</v>
      </c>
      <c r="I137" s="299">
        <v>400</v>
      </c>
      <c r="J137" s="298">
        <f>IF(OR(G137="ágazaton kívüli",G137="n.a."),2.2,IF(OR(E137=2,E137=3,E137=4),VLOOKUP(G137,Szakmaszorzók!$B$2:$D$25,2,0),VLOOKUP(G137,Szakmaszorzók!$B$2:$D$25,3,0)))</f>
        <v>2.2000000000000002</v>
      </c>
      <c r="K137" s="320">
        <f>'Támogatás szorzat tényezői'!$C$2*'Támogatás szorzat tényezői'!$C$5*J137*(H137/1000)</f>
        <v>277200</v>
      </c>
      <c r="L137" s="300"/>
      <c r="M137" s="319">
        <f t="shared" si="2"/>
        <v>8</v>
      </c>
    </row>
    <row r="138" spans="1:13" ht="15.75" hidden="1" customHeight="1" x14ac:dyDescent="0.25">
      <c r="A138" s="319">
        <v>123</v>
      </c>
      <c r="B138" s="298" t="s">
        <v>3548</v>
      </c>
      <c r="C138" s="313" t="s">
        <v>1650</v>
      </c>
      <c r="D138" s="317" t="s">
        <v>3546</v>
      </c>
      <c r="E138" s="317" t="s">
        <v>3459</v>
      </c>
      <c r="F138" s="317" t="s">
        <v>3505</v>
      </c>
      <c r="G138" s="299" t="s">
        <v>1353</v>
      </c>
      <c r="H138" s="299">
        <v>700</v>
      </c>
      <c r="I138" s="299">
        <v>800</v>
      </c>
      <c r="J138" s="298">
        <f>IF(OR(G138="ágazaton kívüli",G138="n.a."),2.2,IF(OR(E138=2,E138=3,E138=4),VLOOKUP(G138,Szakmaszorzók!$B$2:$D$25,2,0),VLOOKUP(G138,Szakmaszorzók!$B$2:$D$25,3,0)))</f>
        <v>2.2000000000000002</v>
      </c>
      <c r="K138" s="320">
        <f>'Támogatás szorzat tényezői'!$C$2*'Támogatás szorzat tényezői'!$C$5*J138*(H138/1000)</f>
        <v>554400</v>
      </c>
      <c r="L138" s="300"/>
      <c r="M138" s="319">
        <f t="shared" si="2"/>
        <v>8</v>
      </c>
    </row>
    <row r="139" spans="1:13" s="306" customFormat="1" ht="15.75" hidden="1" customHeight="1" x14ac:dyDescent="0.25">
      <c r="A139" s="319">
        <v>337</v>
      </c>
      <c r="B139" s="298" t="s">
        <v>3715</v>
      </c>
      <c r="C139" s="313" t="s">
        <v>3095</v>
      </c>
      <c r="D139" s="317" t="s">
        <v>3716</v>
      </c>
      <c r="E139" s="317" t="s">
        <v>3459</v>
      </c>
      <c r="F139" s="317" t="s">
        <v>3456</v>
      </c>
      <c r="G139" s="7" t="s">
        <v>1389</v>
      </c>
      <c r="H139" s="296">
        <v>240</v>
      </c>
      <c r="I139" s="296">
        <v>360</v>
      </c>
      <c r="J139" s="298">
        <f>IF(OR(G139="ágazaton kívüli",G139="n.a."),2.2,IF(OR(E139=2,E139=3,E139=4),VLOOKUP(G139,Szakmaszorzók!$B$2:$D$25,2,0),VLOOKUP(G139,Szakmaszorzók!$B$2:$D$25,3,0)))</f>
        <v>2.2000000000000002</v>
      </c>
      <c r="K139" s="320">
        <f>'Támogatás szorzat tényezői'!$C$2*'Támogatás szorzat tényezői'!$C$5*J139*(H139/1000)</f>
        <v>190080.00000000003</v>
      </c>
      <c r="L139" s="300"/>
      <c r="M139" s="319">
        <f t="shared" si="2"/>
        <v>8</v>
      </c>
    </row>
    <row r="140" spans="1:13" ht="15.75" hidden="1" customHeight="1" x14ac:dyDescent="0.25">
      <c r="A140" s="319">
        <v>357</v>
      </c>
      <c r="B140" s="298" t="s">
        <v>3113</v>
      </c>
      <c r="C140" s="313" t="s">
        <v>1474</v>
      </c>
      <c r="D140" s="317" t="s">
        <v>1362</v>
      </c>
      <c r="E140" s="317" t="s">
        <v>3459</v>
      </c>
      <c r="F140" s="317" t="s">
        <v>3505</v>
      </c>
      <c r="G140" s="299" t="s">
        <v>1389</v>
      </c>
      <c r="H140" s="299">
        <v>240</v>
      </c>
      <c r="I140" s="299">
        <v>360</v>
      </c>
      <c r="J140" s="298">
        <f>IF(OR(G140="ágazaton kívüli",G140="n.a."),2.2,IF(OR(E140=2,E140=3,E140=4),VLOOKUP(G140,Szakmaszorzók!$B$2:$D$25,2,0),VLOOKUP(G140,Szakmaszorzók!$B$2:$D$25,3,0)))</f>
        <v>2.2000000000000002</v>
      </c>
      <c r="K140" s="320">
        <f>'Támogatás szorzat tényezői'!$C$2*'Támogatás szorzat tényezői'!$C$5*J140*(H140/1000)</f>
        <v>190080.00000000003</v>
      </c>
      <c r="L140" s="300"/>
      <c r="M140" s="319">
        <f t="shared" si="2"/>
        <v>8</v>
      </c>
    </row>
    <row r="141" spans="1:13" ht="15.75" hidden="1" customHeight="1" x14ac:dyDescent="0.25">
      <c r="A141" s="319">
        <v>341</v>
      </c>
      <c r="B141" s="298" t="s">
        <v>3719</v>
      </c>
      <c r="C141" s="313" t="s">
        <v>1475</v>
      </c>
      <c r="D141" s="317" t="s">
        <v>3720</v>
      </c>
      <c r="E141" s="317" t="s">
        <v>3459</v>
      </c>
      <c r="F141" s="317" t="s">
        <v>3456</v>
      </c>
      <c r="G141" s="299" t="s">
        <v>1389</v>
      </c>
      <c r="H141" s="299">
        <v>240</v>
      </c>
      <c r="I141" s="299">
        <v>360</v>
      </c>
      <c r="J141" s="298">
        <f>IF(OR(G141="ágazaton kívüli",G141="n.a."),2.2,IF(OR(E141=2,E141=3,E141=4),VLOOKUP(G141,Szakmaszorzók!$B$2:$D$25,2,0),VLOOKUP(G141,Szakmaszorzók!$B$2:$D$25,3,0)))</f>
        <v>2.2000000000000002</v>
      </c>
      <c r="K141" s="320">
        <f>'Támogatás szorzat tényezői'!$C$2*'Támogatás szorzat tényezői'!$C$5*J141*(H141/1000)</f>
        <v>190080.00000000003</v>
      </c>
      <c r="L141" s="300"/>
      <c r="M141" s="319">
        <f t="shared" si="2"/>
        <v>8</v>
      </c>
    </row>
    <row r="142" spans="1:13" ht="15.75" hidden="1" customHeight="1" x14ac:dyDescent="0.25">
      <c r="A142" s="319">
        <v>338</v>
      </c>
      <c r="B142" s="298" t="s">
        <v>3093</v>
      </c>
      <c r="C142" s="313" t="s">
        <v>3094</v>
      </c>
      <c r="D142" s="317" t="s">
        <v>3716</v>
      </c>
      <c r="E142" s="317" t="s">
        <v>3458</v>
      </c>
      <c r="F142" s="317" t="s">
        <v>3505</v>
      </c>
      <c r="G142" s="308" t="s">
        <v>1883</v>
      </c>
      <c r="H142" s="299">
        <v>180</v>
      </c>
      <c r="I142" s="299">
        <v>250</v>
      </c>
      <c r="J142" s="298">
        <f>IF(OR(G142="ágazaton kívüli",G142="n.a."),2.2,IF(OR(E142=2,E142=3,E142=4),VLOOKUP(G142,Szakmaszorzók!$B$2:$D$25,2,0),VLOOKUP(G142,Szakmaszorzók!$B$2:$D$25,3,0)))</f>
        <v>2.2000000000000002</v>
      </c>
      <c r="K142" s="320">
        <f>'Támogatás szorzat tényezői'!$C$2*'Támogatás szorzat tényezői'!$C$5*J142*(H142/1000)</f>
        <v>142560.00000000003</v>
      </c>
      <c r="L142" s="300"/>
      <c r="M142" s="319">
        <f t="shared" si="2"/>
        <v>8</v>
      </c>
    </row>
    <row r="143" spans="1:13" ht="15.75" hidden="1" customHeight="1" x14ac:dyDescent="0.25">
      <c r="A143" s="319">
        <v>96</v>
      </c>
      <c r="B143" s="298" t="s">
        <v>3531</v>
      </c>
      <c r="C143" s="313" t="s">
        <v>1476</v>
      </c>
      <c r="D143" s="317" t="s">
        <v>1281</v>
      </c>
      <c r="E143" s="317" t="s">
        <v>3458</v>
      </c>
      <c r="F143" s="317" t="s">
        <v>3456</v>
      </c>
      <c r="G143" s="299" t="s">
        <v>1280</v>
      </c>
      <c r="H143" s="299">
        <v>250</v>
      </c>
      <c r="I143" s="299">
        <v>400</v>
      </c>
      <c r="J143" s="298">
        <f>IF(OR(G143="ágazaton kívüli",G143="n.a."),2.2,IF(OR(E143=2,E143=3,E143=4),VLOOKUP(G143,Szakmaszorzók!$B$2:$D$25,2,0),VLOOKUP(G143,Szakmaszorzók!$B$2:$D$25,3,0)))</f>
        <v>2.85</v>
      </c>
      <c r="K143" s="320">
        <f>'Támogatás szorzat tényezői'!$C$2*'Támogatás szorzat tényezői'!$C$5*J143*(H143/1000)</f>
        <v>256500</v>
      </c>
      <c r="L143" s="300"/>
      <c r="M143" s="319">
        <f t="shared" si="2"/>
        <v>8</v>
      </c>
    </row>
    <row r="144" spans="1:13" ht="15.75" hidden="1" customHeight="1" x14ac:dyDescent="0.25">
      <c r="A144" s="319">
        <v>25</v>
      </c>
      <c r="B144" s="298" t="s">
        <v>3485</v>
      </c>
      <c r="C144" s="313" t="s">
        <v>1477</v>
      </c>
      <c r="D144" s="317" t="s">
        <v>1311</v>
      </c>
      <c r="E144" s="317" t="s">
        <v>3458</v>
      </c>
      <c r="F144" s="317" t="s">
        <v>3481</v>
      </c>
      <c r="G144" s="299" t="s">
        <v>1301</v>
      </c>
      <c r="H144" s="299">
        <v>80</v>
      </c>
      <c r="I144" s="299">
        <v>120</v>
      </c>
      <c r="J144" s="298">
        <f>IF(OR(G144="ágazaton kívüli",G144="n.a."),2.2,IF(OR(E144=2,E144=3,E144=4),VLOOKUP(G144,Szakmaszorzók!$B$2:$D$25,2,0),VLOOKUP(G144,Szakmaszorzók!$B$2:$D$25,3,0)))</f>
        <v>2.85</v>
      </c>
      <c r="K144" s="320">
        <f>'Támogatás szorzat tényezői'!$C$2*'Támogatás szorzat tényezői'!$C$5*J144*(H144/1000)</f>
        <v>82080</v>
      </c>
      <c r="L144" s="300"/>
      <c r="M144" s="319">
        <f t="shared" si="2"/>
        <v>8</v>
      </c>
    </row>
    <row r="145" spans="1:13" ht="15.75" hidden="1" customHeight="1" x14ac:dyDescent="0.25">
      <c r="A145" s="319">
        <v>116</v>
      </c>
      <c r="B145" s="298" t="s">
        <v>2924</v>
      </c>
      <c r="C145" s="313" t="s">
        <v>1635</v>
      </c>
      <c r="D145" s="317" t="s">
        <v>3541</v>
      </c>
      <c r="E145" s="317" t="s">
        <v>3458</v>
      </c>
      <c r="F145" s="317" t="s">
        <v>3464</v>
      </c>
      <c r="G145" s="299" t="s">
        <v>1280</v>
      </c>
      <c r="H145" s="299">
        <v>800</v>
      </c>
      <c r="I145" s="299">
        <v>1000</v>
      </c>
      <c r="J145" s="298">
        <f>IF(OR(G145="ágazaton kívüli",G145="n.a."),2.2,IF(OR(E145=2,E145=3,E145=4),VLOOKUP(G145,Szakmaszorzók!$B$2:$D$25,2,0),VLOOKUP(G145,Szakmaszorzók!$B$2:$D$25,3,0)))</f>
        <v>2.85</v>
      </c>
      <c r="K145" s="320">
        <f>'Támogatás szorzat tényezői'!$C$2*'Támogatás szorzat tényezői'!$C$5*J145*(H145/1000)</f>
        <v>820800</v>
      </c>
      <c r="L145" s="300"/>
      <c r="M145" s="319">
        <f t="shared" si="2"/>
        <v>8</v>
      </c>
    </row>
    <row r="146" spans="1:13" ht="15.75" hidden="1" customHeight="1" x14ac:dyDescent="0.25">
      <c r="A146" s="319">
        <v>358</v>
      </c>
      <c r="B146" s="298" t="s">
        <v>3728</v>
      </c>
      <c r="C146" s="313" t="s">
        <v>1478</v>
      </c>
      <c r="D146" s="317" t="s">
        <v>1362</v>
      </c>
      <c r="E146" s="317" t="s">
        <v>3458</v>
      </c>
      <c r="F146" s="317" t="s">
        <v>3480</v>
      </c>
      <c r="G146" s="299" t="s">
        <v>1351</v>
      </c>
      <c r="H146" s="299">
        <v>80</v>
      </c>
      <c r="I146" s="299">
        <v>120</v>
      </c>
      <c r="J146" s="298">
        <f>IF(OR(G146="ágazaton kívüli",G146="n.a."),2.2,IF(OR(E146=2,E146=3,E146=4),VLOOKUP(G146,Szakmaszorzók!$B$2:$D$25,2,0),VLOOKUP(G146,Szakmaszorzók!$B$2:$D$25,3,0)))</f>
        <v>2.2000000000000002</v>
      </c>
      <c r="K146" s="320">
        <f>'Támogatás szorzat tényezői'!$C$2*'Támogatás szorzat tényezői'!$C$5*J146*(H146/1000)</f>
        <v>63360.000000000007</v>
      </c>
      <c r="L146" s="300"/>
      <c r="M146" s="319">
        <f t="shared" si="2"/>
        <v>8</v>
      </c>
    </row>
    <row r="147" spans="1:13" ht="15.75" hidden="1" customHeight="1" x14ac:dyDescent="0.25">
      <c r="A147" s="319">
        <v>193</v>
      </c>
      <c r="B147" s="298" t="s">
        <v>3586</v>
      </c>
      <c r="C147" s="313" t="s">
        <v>1479</v>
      </c>
      <c r="D147" s="317" t="s">
        <v>3564</v>
      </c>
      <c r="E147" s="317" t="s">
        <v>3455</v>
      </c>
      <c r="F147" s="317" t="s">
        <v>3496</v>
      </c>
      <c r="G147" s="308" t="s">
        <v>1883</v>
      </c>
      <c r="H147" s="299">
        <v>620</v>
      </c>
      <c r="I147" s="299">
        <v>1085</v>
      </c>
      <c r="J147" s="298">
        <f>IF(OR(G147="ágazaton kívüli",G147="n.a."),2.2,IF(OR(E147=2,E147=3,E147=4),VLOOKUP(G147,Szakmaszorzók!$B$2:$D$25,2,0),VLOOKUP(G147,Szakmaszorzók!$B$2:$D$25,3,0)))</f>
        <v>2.2000000000000002</v>
      </c>
      <c r="K147" s="320">
        <f>'Támogatás szorzat tényezői'!$C$2*'Támogatás szorzat tényezői'!$C$5*J147*(H147/1000)</f>
        <v>491040.00000000006</v>
      </c>
      <c r="L147" s="300"/>
      <c r="M147" s="319">
        <f t="shared" si="2"/>
        <v>8</v>
      </c>
    </row>
    <row r="148" spans="1:13" ht="15.75" hidden="1" customHeight="1" x14ac:dyDescent="0.25">
      <c r="A148" s="319">
        <v>194</v>
      </c>
      <c r="B148" s="298" t="s">
        <v>3587</v>
      </c>
      <c r="C148" s="313" t="s">
        <v>1480</v>
      </c>
      <c r="D148" s="317" t="s">
        <v>3564</v>
      </c>
      <c r="E148" s="317" t="s">
        <v>3455</v>
      </c>
      <c r="F148" s="317" t="s">
        <v>3494</v>
      </c>
      <c r="G148" s="308" t="s">
        <v>1883</v>
      </c>
      <c r="H148" s="299">
        <v>620</v>
      </c>
      <c r="I148" s="299">
        <v>1085</v>
      </c>
      <c r="J148" s="298">
        <f>IF(OR(G148="ágazaton kívüli",G148="n.a."),2.2,IF(OR(E148=2,E148=3,E148=4),VLOOKUP(G148,Szakmaszorzók!$B$2:$D$25,2,0),VLOOKUP(G148,Szakmaszorzók!$B$2:$D$25,3,0)))</f>
        <v>2.2000000000000002</v>
      </c>
      <c r="K148" s="320">
        <f>'Támogatás szorzat tényezői'!$C$2*'Támogatás szorzat tényezői'!$C$5*J148*(H148/1000)</f>
        <v>491040.00000000006</v>
      </c>
      <c r="L148" s="300"/>
      <c r="M148" s="319">
        <f t="shared" si="2"/>
        <v>8</v>
      </c>
    </row>
    <row r="149" spans="1:13" ht="15.75" hidden="1" customHeight="1" x14ac:dyDescent="0.25">
      <c r="A149" s="319">
        <v>195</v>
      </c>
      <c r="B149" s="298" t="s">
        <v>3021</v>
      </c>
      <c r="C149" s="313" t="s">
        <v>1481</v>
      </c>
      <c r="D149" s="317" t="s">
        <v>3564</v>
      </c>
      <c r="E149" s="317" t="s">
        <v>3455</v>
      </c>
      <c r="F149" s="317" t="s">
        <v>3475</v>
      </c>
      <c r="G149" s="308" t="s">
        <v>1883</v>
      </c>
      <c r="H149" s="299">
        <v>620</v>
      </c>
      <c r="I149" s="299">
        <v>1085</v>
      </c>
      <c r="J149" s="298">
        <f>IF(OR(G149="ágazaton kívüli",G149="n.a."),2.2,IF(OR(E149=2,E149=3,E149=4),VLOOKUP(G149,Szakmaszorzók!$B$2:$D$25,2,0),VLOOKUP(G149,Szakmaszorzók!$B$2:$D$25,3,0)))</f>
        <v>2.2000000000000002</v>
      </c>
      <c r="K149" s="320">
        <f>'Támogatás szorzat tényezői'!$C$2*'Támogatás szorzat tényezői'!$C$5*J149*(H149/1000)</f>
        <v>491040.00000000006</v>
      </c>
      <c r="L149" s="300"/>
      <c r="M149" s="319">
        <f t="shared" si="2"/>
        <v>8</v>
      </c>
    </row>
    <row r="150" spans="1:13" ht="15.75" hidden="1" customHeight="1" x14ac:dyDescent="0.25">
      <c r="A150" s="319">
        <v>196</v>
      </c>
      <c r="B150" s="298" t="s">
        <v>3588</v>
      </c>
      <c r="C150" s="313" t="s">
        <v>1482</v>
      </c>
      <c r="D150" s="317" t="s">
        <v>3564</v>
      </c>
      <c r="E150" s="317" t="s">
        <v>3455</v>
      </c>
      <c r="F150" s="317" t="s">
        <v>3507</v>
      </c>
      <c r="G150" s="308" t="s">
        <v>1883</v>
      </c>
      <c r="H150" s="299">
        <v>620</v>
      </c>
      <c r="I150" s="299">
        <v>1085</v>
      </c>
      <c r="J150" s="298">
        <f>IF(OR(G150="ágazaton kívüli",G150="n.a."),2.2,IF(OR(E150=2,E150=3,E150=4),VLOOKUP(G150,Szakmaszorzók!$B$2:$D$25,2,0),VLOOKUP(G150,Szakmaszorzók!$B$2:$D$25,3,0)))</f>
        <v>2.2000000000000002</v>
      </c>
      <c r="K150" s="320">
        <f>'Támogatás szorzat tényezői'!$C$2*'Támogatás szorzat tényezői'!$C$5*J150*(H150/1000)</f>
        <v>491040.00000000006</v>
      </c>
      <c r="L150" s="300"/>
      <c r="M150" s="319">
        <f t="shared" si="2"/>
        <v>8</v>
      </c>
    </row>
    <row r="151" spans="1:13" ht="15.75" hidden="1" customHeight="1" x14ac:dyDescent="0.25">
      <c r="A151" s="319">
        <v>197</v>
      </c>
      <c r="B151" s="298" t="s">
        <v>3589</v>
      </c>
      <c r="C151" s="313" t="s">
        <v>1483</v>
      </c>
      <c r="D151" s="317" t="s">
        <v>3564</v>
      </c>
      <c r="E151" s="317" t="s">
        <v>3455</v>
      </c>
      <c r="F151" s="317" t="s">
        <v>3590</v>
      </c>
      <c r="G151" s="308" t="s">
        <v>1883</v>
      </c>
      <c r="H151" s="299">
        <v>620</v>
      </c>
      <c r="I151" s="299">
        <v>1085</v>
      </c>
      <c r="J151" s="298">
        <f>IF(OR(G151="ágazaton kívüli",G151="n.a."),2.2,IF(OR(E151=2,E151=3,E151=4),VLOOKUP(G151,Szakmaszorzók!$B$2:$D$25,2,0),VLOOKUP(G151,Szakmaszorzók!$B$2:$D$25,3,0)))</f>
        <v>2.2000000000000002</v>
      </c>
      <c r="K151" s="320">
        <f>'Támogatás szorzat tényezői'!$C$2*'Támogatás szorzat tényezői'!$C$5*J151*(H151/1000)</f>
        <v>491040.00000000006</v>
      </c>
      <c r="L151" s="300"/>
      <c r="M151" s="319">
        <f t="shared" si="2"/>
        <v>8</v>
      </c>
    </row>
    <row r="152" spans="1:13" ht="15.75" hidden="1" customHeight="1" x14ac:dyDescent="0.25">
      <c r="A152" s="319">
        <v>198</v>
      </c>
      <c r="B152" s="298" t="s">
        <v>3022</v>
      </c>
      <c r="C152" s="313" t="s">
        <v>1484</v>
      </c>
      <c r="D152" s="317" t="s">
        <v>3564</v>
      </c>
      <c r="E152" s="317" t="s">
        <v>3455</v>
      </c>
      <c r="F152" s="317" t="s">
        <v>3585</v>
      </c>
      <c r="G152" s="308" t="s">
        <v>1883</v>
      </c>
      <c r="H152" s="299">
        <v>620</v>
      </c>
      <c r="I152" s="299">
        <v>1085</v>
      </c>
      <c r="J152" s="298">
        <f>IF(OR(G152="ágazaton kívüli",G152="n.a."),2.2,IF(OR(E152=2,E152=3,E152=4),VLOOKUP(G152,Szakmaszorzók!$B$2:$D$25,2,0),VLOOKUP(G152,Szakmaszorzók!$B$2:$D$25,3,0)))</f>
        <v>2.2000000000000002</v>
      </c>
      <c r="K152" s="320">
        <f>'Támogatás szorzat tényezői'!$C$2*'Támogatás szorzat tényezői'!$C$5*J152*(H152/1000)</f>
        <v>491040.00000000006</v>
      </c>
      <c r="L152" s="300"/>
      <c r="M152" s="319">
        <f t="shared" si="2"/>
        <v>8</v>
      </c>
    </row>
    <row r="153" spans="1:13" ht="15.75" hidden="1" customHeight="1" x14ac:dyDescent="0.25">
      <c r="A153" s="319">
        <v>199</v>
      </c>
      <c r="B153" s="298" t="s">
        <v>3591</v>
      </c>
      <c r="C153" s="313" t="s">
        <v>1485</v>
      </c>
      <c r="D153" s="317" t="s">
        <v>3564</v>
      </c>
      <c r="E153" s="317" t="s">
        <v>3459</v>
      </c>
      <c r="F153" s="317" t="s">
        <v>3470</v>
      </c>
      <c r="G153" s="308" t="s">
        <v>1883</v>
      </c>
      <c r="H153" s="299">
        <v>1700</v>
      </c>
      <c r="I153" s="299">
        <v>2200</v>
      </c>
      <c r="J153" s="298">
        <f>IF(OR(G153="ágazaton kívüli",G153="n.a."),2.2,IF(OR(E153=2,E153=3,E153=4),VLOOKUP(G153,Szakmaszorzók!$B$2:$D$25,2,0),VLOOKUP(G153,Szakmaszorzók!$B$2:$D$25,3,0)))</f>
        <v>2.2000000000000002</v>
      </c>
      <c r="K153" s="320">
        <f>'Támogatás szorzat tényezői'!$C$2*'Támogatás szorzat tényezői'!$C$5*J153*(H153/1000)</f>
        <v>1346400.0000000002</v>
      </c>
      <c r="L153" s="300"/>
      <c r="M153" s="319">
        <f t="shared" si="2"/>
        <v>8</v>
      </c>
    </row>
    <row r="154" spans="1:13" ht="15.75" hidden="1" customHeight="1" x14ac:dyDescent="0.25">
      <c r="A154" s="319">
        <v>200</v>
      </c>
      <c r="B154" s="298" t="s">
        <v>3592</v>
      </c>
      <c r="C154" s="313" t="s">
        <v>1486</v>
      </c>
      <c r="D154" s="317" t="s">
        <v>3564</v>
      </c>
      <c r="E154" s="317" t="s">
        <v>3459</v>
      </c>
      <c r="F154" s="317" t="s">
        <v>3489</v>
      </c>
      <c r="G154" s="308" t="s">
        <v>1883</v>
      </c>
      <c r="H154" s="299">
        <v>1700</v>
      </c>
      <c r="I154" s="299">
        <v>2200</v>
      </c>
      <c r="J154" s="298">
        <f>IF(OR(G154="ágazaton kívüli",G154="n.a."),2.2,IF(OR(E154=2,E154=3,E154=4),VLOOKUP(G154,Szakmaszorzók!$B$2:$D$25,2,0),VLOOKUP(G154,Szakmaszorzók!$B$2:$D$25,3,0)))</f>
        <v>2.2000000000000002</v>
      </c>
      <c r="K154" s="320">
        <f>'Támogatás szorzat tényezői'!$C$2*'Támogatás szorzat tényezői'!$C$5*J154*(H154/1000)</f>
        <v>1346400.0000000002</v>
      </c>
      <c r="L154" s="300"/>
      <c r="M154" s="319">
        <f t="shared" si="2"/>
        <v>8</v>
      </c>
    </row>
    <row r="155" spans="1:13" ht="15.75" hidden="1" customHeight="1" x14ac:dyDescent="0.25">
      <c r="A155" s="319">
        <v>201</v>
      </c>
      <c r="B155" s="298" t="s">
        <v>3005</v>
      </c>
      <c r="C155" s="313" t="s">
        <v>1487</v>
      </c>
      <c r="D155" s="317" t="s">
        <v>3564</v>
      </c>
      <c r="E155" s="317" t="s">
        <v>3459</v>
      </c>
      <c r="F155" s="317" t="s">
        <v>3492</v>
      </c>
      <c r="G155" s="308" t="s">
        <v>1883</v>
      </c>
      <c r="H155" s="299">
        <v>1700</v>
      </c>
      <c r="I155" s="299">
        <v>2200</v>
      </c>
      <c r="J155" s="298">
        <f>IF(OR(G155="ágazaton kívüli",G155="n.a."),2.2,IF(OR(E155=2,E155=3,E155=4),VLOOKUP(G155,Szakmaszorzók!$B$2:$D$25,2,0),VLOOKUP(G155,Szakmaszorzók!$B$2:$D$25,3,0)))</f>
        <v>2.2000000000000002</v>
      </c>
      <c r="K155" s="320">
        <f>'Támogatás szorzat tényezői'!$C$2*'Támogatás szorzat tényezői'!$C$5*J155*(H155/1000)</f>
        <v>1346400.0000000002</v>
      </c>
      <c r="L155" s="300"/>
      <c r="M155" s="319">
        <f t="shared" si="2"/>
        <v>8</v>
      </c>
    </row>
    <row r="156" spans="1:13" ht="15.75" hidden="1" customHeight="1" x14ac:dyDescent="0.25">
      <c r="A156" s="319">
        <v>202</v>
      </c>
      <c r="B156" s="298" t="s">
        <v>3006</v>
      </c>
      <c r="C156" s="313" t="s">
        <v>1488</v>
      </c>
      <c r="D156" s="317" t="s">
        <v>3564</v>
      </c>
      <c r="E156" s="317" t="s">
        <v>3459</v>
      </c>
      <c r="F156" s="317" t="s">
        <v>3500</v>
      </c>
      <c r="G156" s="308" t="s">
        <v>1883</v>
      </c>
      <c r="H156" s="299">
        <v>1700</v>
      </c>
      <c r="I156" s="299">
        <v>2200</v>
      </c>
      <c r="J156" s="298">
        <f>IF(OR(G156="ágazaton kívüli",G156="n.a."),2.2,IF(OR(E156=2,E156=3,E156=4),VLOOKUP(G156,Szakmaszorzók!$B$2:$D$25,2,0),VLOOKUP(G156,Szakmaszorzók!$B$2:$D$25,3,0)))</f>
        <v>2.2000000000000002</v>
      </c>
      <c r="K156" s="320">
        <f>'Támogatás szorzat tényezői'!$C$2*'Támogatás szorzat tényezői'!$C$5*J156*(H156/1000)</f>
        <v>1346400.0000000002</v>
      </c>
      <c r="L156" s="300"/>
      <c r="M156" s="319">
        <f t="shared" si="2"/>
        <v>8</v>
      </c>
    </row>
    <row r="157" spans="1:13" ht="15.75" hidden="1" customHeight="1" x14ac:dyDescent="0.25">
      <c r="A157" s="319">
        <v>203</v>
      </c>
      <c r="B157" s="298" t="s">
        <v>3593</v>
      </c>
      <c r="C157" s="313" t="s">
        <v>1489</v>
      </c>
      <c r="D157" s="317" t="s">
        <v>3564</v>
      </c>
      <c r="E157" s="317" t="s">
        <v>3459</v>
      </c>
      <c r="F157" s="317" t="s">
        <v>3499</v>
      </c>
      <c r="G157" s="308" t="s">
        <v>1883</v>
      </c>
      <c r="H157" s="299">
        <v>1700</v>
      </c>
      <c r="I157" s="299">
        <v>2200</v>
      </c>
      <c r="J157" s="298">
        <f>IF(OR(G157="ágazaton kívüli",G157="n.a."),2.2,IF(OR(E157=2,E157=3,E157=4),VLOOKUP(G157,Szakmaszorzók!$B$2:$D$25,2,0),VLOOKUP(G157,Szakmaszorzók!$B$2:$D$25,3,0)))</f>
        <v>2.2000000000000002</v>
      </c>
      <c r="K157" s="320">
        <f>'Támogatás szorzat tényezői'!$C$2*'Támogatás szorzat tényezői'!$C$5*J157*(H157/1000)</f>
        <v>1346400.0000000002</v>
      </c>
      <c r="L157" s="300"/>
      <c r="M157" s="319">
        <f t="shared" si="2"/>
        <v>8</v>
      </c>
    </row>
    <row r="158" spans="1:13" ht="15.75" hidden="1" customHeight="1" x14ac:dyDescent="0.25">
      <c r="A158" s="319">
        <v>204</v>
      </c>
      <c r="B158" s="298" t="s">
        <v>3007</v>
      </c>
      <c r="C158" s="313" t="s">
        <v>1490</v>
      </c>
      <c r="D158" s="317" t="s">
        <v>3564</v>
      </c>
      <c r="E158" s="317" t="s">
        <v>3459</v>
      </c>
      <c r="F158" s="317" t="s">
        <v>3498</v>
      </c>
      <c r="G158" s="308" t="s">
        <v>1883</v>
      </c>
      <c r="H158" s="299">
        <v>1700</v>
      </c>
      <c r="I158" s="299">
        <v>2200</v>
      </c>
      <c r="J158" s="298">
        <f>IF(OR(G158="ágazaton kívüli",G158="n.a."),2.2,IF(OR(E158=2,E158=3,E158=4),VLOOKUP(G158,Szakmaszorzók!$B$2:$D$25,2,0),VLOOKUP(G158,Szakmaszorzók!$B$2:$D$25,3,0)))</f>
        <v>2.2000000000000002</v>
      </c>
      <c r="K158" s="320">
        <f>'Támogatás szorzat tényezői'!$C$2*'Támogatás szorzat tényezői'!$C$5*J158*(H158/1000)</f>
        <v>1346400.0000000002</v>
      </c>
      <c r="L158" s="300"/>
      <c r="M158" s="319">
        <f t="shared" si="2"/>
        <v>8</v>
      </c>
    </row>
    <row r="159" spans="1:13" ht="15.75" hidden="1" customHeight="1" x14ac:dyDescent="0.25">
      <c r="A159" s="319">
        <v>359</v>
      </c>
      <c r="B159" s="298" t="s">
        <v>3104</v>
      </c>
      <c r="C159" s="314" t="s">
        <v>3105</v>
      </c>
      <c r="D159" s="317" t="s">
        <v>1630</v>
      </c>
      <c r="E159" s="317" t="s">
        <v>3455</v>
      </c>
      <c r="F159" s="317" t="s">
        <v>3490</v>
      </c>
      <c r="G159" s="7" t="s">
        <v>1389</v>
      </c>
      <c r="H159" s="7">
        <v>340</v>
      </c>
      <c r="I159" s="7">
        <v>440</v>
      </c>
      <c r="J159" s="298">
        <f>IF(OR(G159="ágazaton kívüli",G159="n.a."),2.2,IF(OR(E159=2,E159=3,E159=4),VLOOKUP(G159,Szakmaszorzók!$B$2:$D$25,2,0),VLOOKUP(G159,Szakmaszorzók!$B$2:$D$25,3,0)))</f>
        <v>2.2000000000000002</v>
      </c>
      <c r="K159" s="320">
        <f>'Támogatás szorzat tényezői'!$C$2*'Támogatás szorzat tényezői'!$C$5*J159*(H159/1000)</f>
        <v>269280.00000000006</v>
      </c>
      <c r="L159" s="301"/>
      <c r="M159" s="319">
        <f t="shared" si="2"/>
        <v>8</v>
      </c>
    </row>
    <row r="160" spans="1:13" ht="15.75" hidden="1" customHeight="1" x14ac:dyDescent="0.25">
      <c r="A160" s="319">
        <v>124</v>
      </c>
      <c r="B160" s="298" t="s">
        <v>2935</v>
      </c>
      <c r="C160" s="315" t="s">
        <v>2936</v>
      </c>
      <c r="D160" s="317" t="s">
        <v>1638</v>
      </c>
      <c r="E160" s="317" t="s">
        <v>3455</v>
      </c>
      <c r="F160" s="317" t="s">
        <v>3480</v>
      </c>
      <c r="G160" s="299" t="s">
        <v>1353</v>
      </c>
      <c r="H160" s="299">
        <v>160</v>
      </c>
      <c r="I160" s="299">
        <v>320</v>
      </c>
      <c r="J160" s="298">
        <f>IF(OR(G160="ágazaton kívüli",G160="n.a."),2.2,IF(OR(E160=2,E160=3,E160=4),VLOOKUP(G160,Szakmaszorzók!$B$2:$D$25,2,0),VLOOKUP(G160,Szakmaszorzók!$B$2:$D$25,3,0)))</f>
        <v>2.2000000000000002</v>
      </c>
      <c r="K160" s="320">
        <f>'Támogatás szorzat tényezői'!$C$2*'Támogatás szorzat tényezői'!$C$5*J160*(H160/1000)</f>
        <v>126720.00000000001</v>
      </c>
      <c r="L160" s="302"/>
      <c r="M160" s="319">
        <f t="shared" si="2"/>
        <v>8</v>
      </c>
    </row>
    <row r="161" spans="1:13" ht="15.75" hidden="1" customHeight="1" x14ac:dyDescent="0.25">
      <c r="A161" s="319">
        <v>125</v>
      </c>
      <c r="B161" s="298" t="s">
        <v>2930</v>
      </c>
      <c r="C161" s="313" t="s">
        <v>1642</v>
      </c>
      <c r="D161" s="317" t="s">
        <v>1638</v>
      </c>
      <c r="E161" s="317" t="s">
        <v>3459</v>
      </c>
      <c r="F161" s="317" t="s">
        <v>3462</v>
      </c>
      <c r="G161" s="299" t="s">
        <v>1353</v>
      </c>
      <c r="H161" s="299">
        <v>320</v>
      </c>
      <c r="I161" s="299">
        <v>640</v>
      </c>
      <c r="J161" s="298">
        <f>IF(OR(G161="ágazaton kívüli",G161="n.a."),2.2,IF(OR(E161=2,E161=3,E161=4),VLOOKUP(G161,Szakmaszorzók!$B$2:$D$25,2,0),VLOOKUP(G161,Szakmaszorzók!$B$2:$D$25,3,0)))</f>
        <v>2.2000000000000002</v>
      </c>
      <c r="K161" s="320">
        <f>'Támogatás szorzat tényezői'!$C$2*'Támogatás szorzat tényezői'!$C$5*J161*(H161/1000)</f>
        <v>253440.00000000003</v>
      </c>
      <c r="L161" s="300"/>
      <c r="M161" s="319">
        <f t="shared" si="2"/>
        <v>8</v>
      </c>
    </row>
    <row r="162" spans="1:13" ht="15.75" hidden="1" customHeight="1" x14ac:dyDescent="0.25">
      <c r="A162" s="319">
        <v>126</v>
      </c>
      <c r="B162" s="298" t="s">
        <v>2937</v>
      </c>
      <c r="C162" s="315" t="s">
        <v>2938</v>
      </c>
      <c r="D162" s="317" t="s">
        <v>1638</v>
      </c>
      <c r="E162" s="317" t="s">
        <v>3455</v>
      </c>
      <c r="F162" s="317" t="s">
        <v>3461</v>
      </c>
      <c r="G162" s="299" t="s">
        <v>1353</v>
      </c>
      <c r="H162" s="299">
        <v>160</v>
      </c>
      <c r="I162" s="299">
        <v>320</v>
      </c>
      <c r="J162" s="298">
        <f>IF(OR(G162="ágazaton kívüli",G162="n.a."),2.2,IF(OR(E162=2,E162=3,E162=4),VLOOKUP(G162,Szakmaszorzók!$B$2:$D$25,2,0),VLOOKUP(G162,Szakmaszorzók!$B$2:$D$25,3,0)))</f>
        <v>2.2000000000000002</v>
      </c>
      <c r="K162" s="320">
        <f>'Támogatás szorzat tényezői'!$C$2*'Támogatás szorzat tényezői'!$C$5*J162*(H162/1000)</f>
        <v>126720.00000000001</v>
      </c>
      <c r="L162" s="302"/>
      <c r="M162" s="319">
        <f t="shared" si="2"/>
        <v>8</v>
      </c>
    </row>
    <row r="163" spans="1:13" ht="15.75" hidden="1" customHeight="1" x14ac:dyDescent="0.25">
      <c r="A163" s="319">
        <v>127</v>
      </c>
      <c r="B163" s="298" t="s">
        <v>2931</v>
      </c>
      <c r="C163" s="313" t="s">
        <v>1643</v>
      </c>
      <c r="D163" s="317" t="s">
        <v>1638</v>
      </c>
      <c r="E163" s="317" t="s">
        <v>3459</v>
      </c>
      <c r="F163" s="317" t="s">
        <v>3505</v>
      </c>
      <c r="G163" s="299" t="s">
        <v>1353</v>
      </c>
      <c r="H163" s="299">
        <v>320</v>
      </c>
      <c r="I163" s="299">
        <v>640</v>
      </c>
      <c r="J163" s="298">
        <f>IF(OR(G163="ágazaton kívüli",G163="n.a."),2.2,IF(OR(E163=2,E163=3,E163=4),VLOOKUP(G163,Szakmaszorzók!$B$2:$D$25,2,0),VLOOKUP(G163,Szakmaszorzók!$B$2:$D$25,3,0)))</f>
        <v>2.2000000000000002</v>
      </c>
      <c r="K163" s="320">
        <f>'Támogatás szorzat tényezői'!$C$2*'Támogatás szorzat tényezői'!$C$5*J163*(H163/1000)</f>
        <v>253440.00000000003</v>
      </c>
      <c r="L163" s="300"/>
      <c r="M163" s="319">
        <f t="shared" si="2"/>
        <v>8</v>
      </c>
    </row>
    <row r="164" spans="1:13" ht="15.75" hidden="1" customHeight="1" x14ac:dyDescent="0.25">
      <c r="A164" s="319">
        <v>128</v>
      </c>
      <c r="B164" s="298" t="s">
        <v>2932</v>
      </c>
      <c r="C164" s="313" t="s">
        <v>1644</v>
      </c>
      <c r="D164" s="317" t="s">
        <v>1638</v>
      </c>
      <c r="E164" s="317" t="s">
        <v>3459</v>
      </c>
      <c r="F164" s="317" t="s">
        <v>3502</v>
      </c>
      <c r="G164" s="299" t="s">
        <v>1353</v>
      </c>
      <c r="H164" s="299">
        <v>320</v>
      </c>
      <c r="I164" s="299">
        <v>640</v>
      </c>
      <c r="J164" s="298">
        <f>IF(OR(G164="ágazaton kívüli",G164="n.a."),2.2,IF(OR(E164=2,E164=3,E164=4),VLOOKUP(G164,Szakmaszorzók!$B$2:$D$25,2,0),VLOOKUP(G164,Szakmaszorzók!$B$2:$D$25,3,0)))</f>
        <v>2.2000000000000002</v>
      </c>
      <c r="K164" s="320">
        <f>'Támogatás szorzat tényezői'!$C$2*'Támogatás szorzat tényezői'!$C$5*J164*(H164/1000)</f>
        <v>253440.00000000003</v>
      </c>
      <c r="L164" s="300"/>
      <c r="M164" s="319">
        <f t="shared" si="2"/>
        <v>8</v>
      </c>
    </row>
    <row r="165" spans="1:13" ht="15.75" hidden="1" customHeight="1" x14ac:dyDescent="0.25">
      <c r="A165" s="319">
        <v>129</v>
      </c>
      <c r="B165" s="298" t="s">
        <v>3549</v>
      </c>
      <c r="C165" s="313" t="s">
        <v>1645</v>
      </c>
      <c r="D165" s="317" t="s">
        <v>1638</v>
      </c>
      <c r="E165" s="317" t="s">
        <v>3459</v>
      </c>
      <c r="F165" s="317" t="s">
        <v>3484</v>
      </c>
      <c r="G165" s="299" t="s">
        <v>1353</v>
      </c>
      <c r="H165" s="299">
        <v>320</v>
      </c>
      <c r="I165" s="299">
        <v>640</v>
      </c>
      <c r="J165" s="298">
        <f>IF(OR(G165="ágazaton kívüli",G165="n.a."),2.2,IF(OR(E165=2,E165=3,E165=4),VLOOKUP(G165,Szakmaszorzók!$B$2:$D$25,2,0),VLOOKUP(G165,Szakmaszorzók!$B$2:$D$25,3,0)))</f>
        <v>2.2000000000000002</v>
      </c>
      <c r="K165" s="320">
        <f>'Támogatás szorzat tényezői'!$C$2*'Támogatás szorzat tényezői'!$C$5*J165*(H165/1000)</f>
        <v>253440.00000000003</v>
      </c>
      <c r="L165" s="300"/>
      <c r="M165" s="319">
        <f t="shared" si="2"/>
        <v>8</v>
      </c>
    </row>
    <row r="166" spans="1:13" ht="15.75" hidden="1" customHeight="1" x14ac:dyDescent="0.25">
      <c r="A166" s="319">
        <v>130</v>
      </c>
      <c r="B166" s="298" t="s">
        <v>2939</v>
      </c>
      <c r="C166" s="315" t="s">
        <v>2940</v>
      </c>
      <c r="D166" s="317" t="s">
        <v>1638</v>
      </c>
      <c r="E166" s="317" t="s">
        <v>3455</v>
      </c>
      <c r="F166" s="317" t="s">
        <v>3460</v>
      </c>
      <c r="G166" s="299" t="s">
        <v>1353</v>
      </c>
      <c r="H166" s="299">
        <v>160</v>
      </c>
      <c r="I166" s="299">
        <v>320</v>
      </c>
      <c r="J166" s="298">
        <f>IF(OR(G166="ágazaton kívüli",G166="n.a."),2.2,IF(OR(E166=2,E166=3,E166=4),VLOOKUP(G166,Szakmaszorzók!$B$2:$D$25,2,0),VLOOKUP(G166,Szakmaszorzók!$B$2:$D$25,3,0)))</f>
        <v>2.2000000000000002</v>
      </c>
      <c r="K166" s="320">
        <f>'Támogatás szorzat tényezői'!$C$2*'Támogatás szorzat tényezői'!$C$5*J166*(H166/1000)</f>
        <v>126720.00000000001</v>
      </c>
      <c r="L166" s="302"/>
      <c r="M166" s="319">
        <f t="shared" si="2"/>
        <v>8</v>
      </c>
    </row>
    <row r="167" spans="1:13" ht="15.75" hidden="1" customHeight="1" x14ac:dyDescent="0.25">
      <c r="A167" s="319">
        <v>97</v>
      </c>
      <c r="B167" s="298" t="s">
        <v>2919</v>
      </c>
      <c r="C167" s="313" t="s">
        <v>1680</v>
      </c>
      <c r="D167" s="317" t="s">
        <v>1281</v>
      </c>
      <c r="E167" s="317" t="s">
        <v>3458</v>
      </c>
      <c r="F167" s="317" t="s">
        <v>3473</v>
      </c>
      <c r="G167" s="299" t="s">
        <v>1289</v>
      </c>
      <c r="H167" s="299">
        <v>820</v>
      </c>
      <c r="I167" s="299">
        <v>1250</v>
      </c>
      <c r="J167" s="298">
        <f>IF(OR(G167="ágazaton kívüli",G167="n.a."),2.2,IF(OR(E167=2,E167=3,E167=4),VLOOKUP(G167,Szakmaszorzók!$B$2:$D$25,2,0),VLOOKUP(G167,Szakmaszorzók!$B$2:$D$25,3,0)))</f>
        <v>2.42</v>
      </c>
      <c r="K167" s="320">
        <f>'Támogatás szorzat tényezői'!$C$2*'Támogatás szorzat tényezői'!$C$5*J167*(H167/1000)</f>
        <v>714384</v>
      </c>
      <c r="L167" s="300"/>
      <c r="M167" s="319">
        <f t="shared" si="2"/>
        <v>8</v>
      </c>
    </row>
    <row r="168" spans="1:13" ht="15.75" hidden="1" customHeight="1" x14ac:dyDescent="0.25">
      <c r="A168" s="319">
        <v>98</v>
      </c>
      <c r="B168" s="298" t="s">
        <v>3532</v>
      </c>
      <c r="C168" s="313" t="s">
        <v>1491</v>
      </c>
      <c r="D168" s="317" t="s">
        <v>1281</v>
      </c>
      <c r="E168" s="317" t="s">
        <v>3458</v>
      </c>
      <c r="F168" s="317" t="s">
        <v>3480</v>
      </c>
      <c r="G168" s="299" t="s">
        <v>1280</v>
      </c>
      <c r="H168" s="299">
        <v>150</v>
      </c>
      <c r="I168" s="299">
        <v>250</v>
      </c>
      <c r="J168" s="298">
        <f>IF(OR(G168="ágazaton kívüli",G168="n.a."),2.2,IF(OR(E168=2,E168=3,E168=4),VLOOKUP(G168,Szakmaszorzók!$B$2:$D$25,2,0),VLOOKUP(G168,Szakmaszorzók!$B$2:$D$25,3,0)))</f>
        <v>2.85</v>
      </c>
      <c r="K168" s="320">
        <f>'Támogatás szorzat tényezői'!$C$2*'Támogatás szorzat tényezői'!$C$5*J168*(H168/1000)</f>
        <v>153900</v>
      </c>
      <c r="L168" s="300"/>
      <c r="M168" s="319">
        <f t="shared" si="2"/>
        <v>8</v>
      </c>
    </row>
    <row r="169" spans="1:13" ht="15.75" hidden="1" customHeight="1" x14ac:dyDescent="0.25">
      <c r="A169" s="319">
        <v>148</v>
      </c>
      <c r="B169" s="298" t="s">
        <v>3556</v>
      </c>
      <c r="C169" s="313" t="s">
        <v>1690</v>
      </c>
      <c r="D169" s="317" t="s">
        <v>3557</v>
      </c>
      <c r="E169" s="317" t="s">
        <v>3458</v>
      </c>
      <c r="F169" s="317" t="s">
        <v>3505</v>
      </c>
      <c r="G169" s="299" t="s">
        <v>1282</v>
      </c>
      <c r="H169" s="299">
        <v>600</v>
      </c>
      <c r="I169" s="299">
        <v>650</v>
      </c>
      <c r="J169" s="298">
        <f>IF(OR(G169="ágazaton kívüli",G169="n.a."),2.2,IF(OR(E169=2,E169=3,E169=4),VLOOKUP(G169,Szakmaszorzók!$B$2:$D$25,2,0),VLOOKUP(G169,Szakmaszorzók!$B$2:$D$25,3,0)))</f>
        <v>2.42</v>
      </c>
      <c r="K169" s="320">
        <f>'Támogatás szorzat tényezői'!$C$2*'Támogatás szorzat tényezői'!$C$5*J169*(H169/1000)</f>
        <v>522720</v>
      </c>
      <c r="L169" s="300"/>
      <c r="M169" s="319">
        <f t="shared" si="2"/>
        <v>8</v>
      </c>
    </row>
    <row r="170" spans="1:13" ht="15.75" hidden="1" customHeight="1" x14ac:dyDescent="0.25">
      <c r="A170" s="319">
        <v>205</v>
      </c>
      <c r="B170" s="298" t="s">
        <v>3594</v>
      </c>
      <c r="C170" s="313" t="s">
        <v>1625</v>
      </c>
      <c r="D170" s="317" t="s">
        <v>3564</v>
      </c>
      <c r="E170" s="317" t="s">
        <v>3459</v>
      </c>
      <c r="F170" s="317" t="s">
        <v>3595</v>
      </c>
      <c r="G170" s="308" t="s">
        <v>1883</v>
      </c>
      <c r="H170" s="299">
        <v>1200</v>
      </c>
      <c r="I170" s="299">
        <v>1500</v>
      </c>
      <c r="J170" s="298">
        <f>IF(OR(G170="ágazaton kívüli",G170="n.a."),2.2,IF(OR(E170=2,E170=3,E170=4),VLOOKUP(G170,Szakmaszorzók!$B$2:$D$25,2,0),VLOOKUP(G170,Szakmaszorzók!$B$2:$D$25,3,0)))</f>
        <v>2.2000000000000002</v>
      </c>
      <c r="K170" s="320">
        <f>'Támogatás szorzat tényezői'!$C$2*'Támogatás szorzat tényezői'!$C$5*J170*(H170/1000)</f>
        <v>950400.00000000012</v>
      </c>
      <c r="L170" s="300"/>
      <c r="M170" s="319">
        <f t="shared" si="2"/>
        <v>8</v>
      </c>
    </row>
    <row r="171" spans="1:13" ht="15.75" hidden="1" customHeight="1" x14ac:dyDescent="0.25">
      <c r="A171" s="319">
        <v>206</v>
      </c>
      <c r="B171" s="298" t="s">
        <v>3596</v>
      </c>
      <c r="C171" s="313" t="s">
        <v>1623</v>
      </c>
      <c r="D171" s="317" t="s">
        <v>3564</v>
      </c>
      <c r="E171" s="317" t="s">
        <v>3459</v>
      </c>
      <c r="F171" s="317" t="s">
        <v>3597</v>
      </c>
      <c r="G171" s="308" t="s">
        <v>1883</v>
      </c>
      <c r="H171" s="299">
        <v>900</v>
      </c>
      <c r="I171" s="299">
        <v>1200</v>
      </c>
      <c r="J171" s="298">
        <f>IF(OR(G171="ágazaton kívüli",G171="n.a."),2.2,IF(OR(E171=2,E171=3,E171=4),VLOOKUP(G171,Szakmaszorzók!$B$2:$D$25,2,0),VLOOKUP(G171,Szakmaszorzók!$B$2:$D$25,3,0)))</f>
        <v>2.2000000000000002</v>
      </c>
      <c r="K171" s="320">
        <f>'Támogatás szorzat tényezői'!$C$2*'Támogatás szorzat tényezői'!$C$5*J171*(H171/1000)</f>
        <v>712800.00000000012</v>
      </c>
      <c r="L171" s="300"/>
      <c r="M171" s="319">
        <f t="shared" si="2"/>
        <v>8</v>
      </c>
    </row>
    <row r="172" spans="1:13" ht="15.75" hidden="1" customHeight="1" x14ac:dyDescent="0.25">
      <c r="A172" s="319">
        <v>207</v>
      </c>
      <c r="B172" s="298" t="s">
        <v>3598</v>
      </c>
      <c r="C172" s="313" t="s">
        <v>1626</v>
      </c>
      <c r="D172" s="317" t="s">
        <v>3564</v>
      </c>
      <c r="E172" s="317" t="s">
        <v>3459</v>
      </c>
      <c r="F172" s="317" t="s">
        <v>3599</v>
      </c>
      <c r="G172" s="308" t="s">
        <v>1883</v>
      </c>
      <c r="H172" s="299">
        <v>1200</v>
      </c>
      <c r="I172" s="299">
        <v>1500</v>
      </c>
      <c r="J172" s="298">
        <f>IF(OR(G172="ágazaton kívüli",G172="n.a."),2.2,IF(OR(E172=2,E172=3,E172=4),VLOOKUP(G172,Szakmaszorzók!$B$2:$D$25,2,0),VLOOKUP(G172,Szakmaszorzók!$B$2:$D$25,3,0)))</f>
        <v>2.2000000000000002</v>
      </c>
      <c r="K172" s="320">
        <f>'Támogatás szorzat tényezői'!$C$2*'Támogatás szorzat tényezői'!$C$5*J172*(H172/1000)</f>
        <v>950400.00000000012</v>
      </c>
      <c r="L172" s="300"/>
      <c r="M172" s="319">
        <f t="shared" si="2"/>
        <v>8</v>
      </c>
    </row>
    <row r="173" spans="1:13" ht="15.75" hidden="1" customHeight="1" x14ac:dyDescent="0.25">
      <c r="A173" s="319">
        <v>208</v>
      </c>
      <c r="B173" s="298" t="s">
        <v>3600</v>
      </c>
      <c r="C173" s="313" t="s">
        <v>1624</v>
      </c>
      <c r="D173" s="317" t="s">
        <v>3564</v>
      </c>
      <c r="E173" s="317" t="s">
        <v>3459</v>
      </c>
      <c r="F173" s="317" t="s">
        <v>3601</v>
      </c>
      <c r="G173" s="308" t="s">
        <v>1883</v>
      </c>
      <c r="H173" s="299">
        <v>1200</v>
      </c>
      <c r="I173" s="299">
        <v>1500</v>
      </c>
      <c r="J173" s="298">
        <f>IF(OR(G173="ágazaton kívüli",G173="n.a."),2.2,IF(OR(E173=2,E173=3,E173=4),VLOOKUP(G173,Szakmaszorzók!$B$2:$D$25,2,0),VLOOKUP(G173,Szakmaszorzók!$B$2:$D$25,3,0)))</f>
        <v>2.2000000000000002</v>
      </c>
      <c r="K173" s="320">
        <f>'Támogatás szorzat tényezői'!$C$2*'Támogatás szorzat tényezői'!$C$5*J173*(H173/1000)</f>
        <v>950400.00000000012</v>
      </c>
      <c r="L173" s="300"/>
      <c r="M173" s="319">
        <f t="shared" si="2"/>
        <v>8</v>
      </c>
    </row>
    <row r="174" spans="1:13" ht="15.75" hidden="1" customHeight="1" x14ac:dyDescent="0.25">
      <c r="A174" s="319">
        <v>209</v>
      </c>
      <c r="B174" s="298" t="s">
        <v>3602</v>
      </c>
      <c r="C174" s="313" t="s">
        <v>1627</v>
      </c>
      <c r="D174" s="317" t="s">
        <v>3564</v>
      </c>
      <c r="E174" s="317" t="s">
        <v>3459</v>
      </c>
      <c r="F174" s="317" t="s">
        <v>3603</v>
      </c>
      <c r="G174" s="308" t="s">
        <v>1883</v>
      </c>
      <c r="H174" s="299">
        <v>600</v>
      </c>
      <c r="I174" s="299">
        <v>900</v>
      </c>
      <c r="J174" s="298">
        <f>IF(OR(G174="ágazaton kívüli",G174="n.a."),2.2,IF(OR(E174=2,E174=3,E174=4),VLOOKUP(G174,Szakmaszorzók!$B$2:$D$25,2,0),VLOOKUP(G174,Szakmaszorzók!$B$2:$D$25,3,0)))</f>
        <v>2.2000000000000002</v>
      </c>
      <c r="K174" s="320">
        <f>'Támogatás szorzat tényezői'!$C$2*'Támogatás szorzat tényezői'!$C$5*J174*(H174/1000)</f>
        <v>475200.00000000006</v>
      </c>
      <c r="L174" s="300"/>
      <c r="M174" s="319">
        <f t="shared" si="2"/>
        <v>8</v>
      </c>
    </row>
    <row r="175" spans="1:13" ht="15.75" hidden="1" customHeight="1" x14ac:dyDescent="0.25">
      <c r="A175" s="319">
        <v>387</v>
      </c>
      <c r="B175" s="298" t="s">
        <v>3175</v>
      </c>
      <c r="C175" s="313" t="s">
        <v>3176</v>
      </c>
      <c r="D175" s="317" t="s">
        <v>3739</v>
      </c>
      <c r="E175" s="317" t="s">
        <v>3459</v>
      </c>
      <c r="F175" s="317" t="s">
        <v>3502</v>
      </c>
      <c r="G175" s="7" t="s">
        <v>1373</v>
      </c>
      <c r="H175" s="296">
        <v>350</v>
      </c>
      <c r="I175" s="296">
        <v>450</v>
      </c>
      <c r="J175" s="298">
        <f>IF(OR(G175="ágazaton kívüli",G175="n.a."),2.2,IF(OR(E175=2,E175=3,E175=4),VLOOKUP(G175,Szakmaszorzók!$B$2:$D$25,2,0),VLOOKUP(G175,Szakmaszorzók!$B$2:$D$25,3,0)))</f>
        <v>2.2000000000000002</v>
      </c>
      <c r="K175" s="320">
        <f>'Támogatás szorzat tényezői'!$C$2*'Támogatás szorzat tényezői'!$C$5*J175*(H175/1000)</f>
        <v>277200</v>
      </c>
      <c r="L175" s="300"/>
      <c r="M175" s="319">
        <f t="shared" si="2"/>
        <v>8</v>
      </c>
    </row>
    <row r="176" spans="1:13" ht="15.75" hidden="1" customHeight="1" x14ac:dyDescent="0.25">
      <c r="A176" s="319">
        <v>388</v>
      </c>
      <c r="B176" s="298" t="s">
        <v>3201</v>
      </c>
      <c r="C176" s="313" t="s">
        <v>3202</v>
      </c>
      <c r="D176" s="317" t="s">
        <v>3739</v>
      </c>
      <c r="E176" s="317" t="s">
        <v>3732</v>
      </c>
      <c r="F176" s="317" t="s">
        <v>3462</v>
      </c>
      <c r="G176" s="299" t="s">
        <v>1373</v>
      </c>
      <c r="H176" s="299">
        <v>700</v>
      </c>
      <c r="I176" s="299">
        <v>1200</v>
      </c>
      <c r="J176" s="298">
        <f>IF(OR(G176="ágazaton kívüli",G176="n.a."),2.2,IF(OR(E176=2,E176=3,E176=4),VLOOKUP(G176,Szakmaszorzók!$B$2:$D$25,2,0),VLOOKUP(G176,Szakmaszorzók!$B$2:$D$25,3,0)))</f>
        <v>2.2000000000000002</v>
      </c>
      <c r="K176" s="320">
        <f>'Támogatás szorzat tényezői'!$C$2*'Támogatás szorzat tényezői'!$C$5*J176*(H176/1000)</f>
        <v>554400</v>
      </c>
      <c r="L176" s="300"/>
      <c r="M176" s="319">
        <f t="shared" si="2"/>
        <v>8</v>
      </c>
    </row>
    <row r="177" spans="1:13" ht="15.75" hidden="1" customHeight="1" x14ac:dyDescent="0.25">
      <c r="A177" s="319">
        <v>389</v>
      </c>
      <c r="B177" s="298" t="s">
        <v>3177</v>
      </c>
      <c r="C177" s="313" t="s">
        <v>3178</v>
      </c>
      <c r="D177" s="317" t="s">
        <v>3739</v>
      </c>
      <c r="E177" s="317" t="s">
        <v>3459</v>
      </c>
      <c r="F177" s="317" t="s">
        <v>3484</v>
      </c>
      <c r="G177" s="7" t="s">
        <v>1373</v>
      </c>
      <c r="H177" s="296">
        <v>240</v>
      </c>
      <c r="I177" s="296">
        <v>340</v>
      </c>
      <c r="J177" s="298">
        <f>IF(OR(G177="ágazaton kívüli",G177="n.a."),2.2,IF(OR(E177=2,E177=3,E177=4),VLOOKUP(G177,Szakmaszorzók!$B$2:$D$25,2,0),VLOOKUP(G177,Szakmaszorzók!$B$2:$D$25,3,0)))</f>
        <v>2.2000000000000002</v>
      </c>
      <c r="K177" s="320">
        <f>'Támogatás szorzat tényezői'!$C$2*'Támogatás szorzat tényezői'!$C$5*J177*(H177/1000)</f>
        <v>190080.00000000003</v>
      </c>
      <c r="L177" s="300"/>
      <c r="M177" s="319">
        <f t="shared" si="2"/>
        <v>8</v>
      </c>
    </row>
    <row r="178" spans="1:13" ht="15.75" hidden="1" customHeight="1" x14ac:dyDescent="0.25">
      <c r="A178" s="319">
        <v>26</v>
      </c>
      <c r="B178" s="298" t="s">
        <v>3486</v>
      </c>
      <c r="C178" s="313" t="s">
        <v>1659</v>
      </c>
      <c r="D178" s="317" t="s">
        <v>1311</v>
      </c>
      <c r="E178" s="317" t="s">
        <v>3458</v>
      </c>
      <c r="F178" s="317" t="s">
        <v>3487</v>
      </c>
      <c r="G178" s="299" t="s">
        <v>1301</v>
      </c>
      <c r="H178" s="299">
        <v>200</v>
      </c>
      <c r="I178" s="299">
        <v>300</v>
      </c>
      <c r="J178" s="298">
        <f>IF(OR(G178="ágazaton kívüli",G178="n.a."),2.2,IF(OR(E178=2,E178=3,E178=4),VLOOKUP(G178,Szakmaszorzók!$B$2:$D$25,2,0),VLOOKUP(G178,Szakmaszorzók!$B$2:$D$25,3,0)))</f>
        <v>2.85</v>
      </c>
      <c r="K178" s="320">
        <f>'Támogatás szorzat tényezői'!$C$2*'Támogatás szorzat tényezői'!$C$5*J178*(H178/1000)</f>
        <v>205200</v>
      </c>
      <c r="L178" s="300"/>
      <c r="M178" s="319">
        <f t="shared" si="2"/>
        <v>8</v>
      </c>
    </row>
    <row r="179" spans="1:13" ht="15.75" hidden="1" customHeight="1" x14ac:dyDescent="0.25">
      <c r="A179" s="319">
        <v>27</v>
      </c>
      <c r="B179" s="298" t="s">
        <v>3488</v>
      </c>
      <c r="C179" s="313" t="s">
        <v>1661</v>
      </c>
      <c r="D179" s="317" t="s">
        <v>1311</v>
      </c>
      <c r="E179" s="317" t="s">
        <v>3458</v>
      </c>
      <c r="F179" s="317" t="s">
        <v>3489</v>
      </c>
      <c r="G179" s="299" t="s">
        <v>1301</v>
      </c>
      <c r="H179" s="299">
        <v>200</v>
      </c>
      <c r="I179" s="299">
        <v>300</v>
      </c>
      <c r="J179" s="298">
        <f>IF(OR(G179="ágazaton kívüli",G179="n.a."),2.2,IF(OR(E179=2,E179=3,E179=4),VLOOKUP(G179,Szakmaszorzók!$B$2:$D$25,2,0),VLOOKUP(G179,Szakmaszorzók!$B$2:$D$25,3,0)))</f>
        <v>2.85</v>
      </c>
      <c r="K179" s="320">
        <f>'Támogatás szorzat tényezői'!$C$2*'Támogatás szorzat tényezői'!$C$5*J179*(H179/1000)</f>
        <v>205200</v>
      </c>
      <c r="L179" s="300"/>
      <c r="M179" s="319">
        <f t="shared" si="2"/>
        <v>8</v>
      </c>
    </row>
    <row r="180" spans="1:13" ht="15.75" hidden="1" customHeight="1" x14ac:dyDescent="0.25">
      <c r="A180" s="319">
        <v>390</v>
      </c>
      <c r="B180" s="298" t="s">
        <v>3742</v>
      </c>
      <c r="C180" s="313" t="s">
        <v>3168</v>
      </c>
      <c r="D180" s="317" t="s">
        <v>3739</v>
      </c>
      <c r="E180" s="317" t="s">
        <v>3458</v>
      </c>
      <c r="F180" s="317" t="s">
        <v>3496</v>
      </c>
      <c r="G180" s="7" t="s">
        <v>1373</v>
      </c>
      <c r="H180" s="296">
        <v>800</v>
      </c>
      <c r="I180" s="296">
        <v>1000</v>
      </c>
      <c r="J180" s="298">
        <f>IF(OR(G180="ágazaton kívüli",G180="n.a."),2.2,IF(OR(E180=2,E180=3,E180=4),VLOOKUP(G180,Szakmaszorzók!$B$2:$D$25,2,0),VLOOKUP(G180,Szakmaszorzók!$B$2:$D$25,3,0)))</f>
        <v>2.2000000000000002</v>
      </c>
      <c r="K180" s="320">
        <f>'Támogatás szorzat tényezői'!$C$2*'Támogatás szorzat tényezői'!$C$5*J180*(H180/1000)</f>
        <v>633600.00000000012</v>
      </c>
      <c r="L180" s="300"/>
      <c r="M180" s="319">
        <f t="shared" si="2"/>
        <v>8</v>
      </c>
    </row>
    <row r="181" spans="1:13" ht="15.75" hidden="1" customHeight="1" x14ac:dyDescent="0.25">
      <c r="A181" s="319">
        <v>210</v>
      </c>
      <c r="B181" s="298" t="s">
        <v>2950</v>
      </c>
      <c r="C181" s="313" t="s">
        <v>1492</v>
      </c>
      <c r="D181" s="317" t="s">
        <v>1331</v>
      </c>
      <c r="E181" s="317" t="s">
        <v>3459</v>
      </c>
      <c r="F181" s="317" t="s">
        <v>3456</v>
      </c>
      <c r="G181" s="308" t="s">
        <v>1883</v>
      </c>
      <c r="H181" s="299">
        <v>900</v>
      </c>
      <c r="I181" s="299">
        <v>2222</v>
      </c>
      <c r="J181" s="298">
        <f>IF(OR(G181="ágazaton kívüli",G181="n.a."),2.2,IF(OR(E181=2,E181=3,E181=4),VLOOKUP(G181,Szakmaszorzók!$B$2:$D$25,2,0),VLOOKUP(G181,Szakmaszorzók!$B$2:$D$25,3,0)))</f>
        <v>2.2000000000000002</v>
      </c>
      <c r="K181" s="320">
        <f>'Támogatás szorzat tényezői'!$C$2*'Támogatás szorzat tényezői'!$C$5*J181*(H181/1000)</f>
        <v>712800.00000000012</v>
      </c>
      <c r="L181" s="300"/>
      <c r="M181" s="319">
        <f t="shared" si="2"/>
        <v>8</v>
      </c>
    </row>
    <row r="182" spans="1:13" ht="15.75" hidden="1" customHeight="1" x14ac:dyDescent="0.25">
      <c r="A182" s="319">
        <v>211</v>
      </c>
      <c r="B182" s="298" t="s">
        <v>3604</v>
      </c>
      <c r="C182" s="313" t="s">
        <v>1493</v>
      </c>
      <c r="D182" s="317" t="s">
        <v>1331</v>
      </c>
      <c r="E182" s="317" t="s">
        <v>3459</v>
      </c>
      <c r="F182" s="317" t="s">
        <v>3464</v>
      </c>
      <c r="G182" s="308" t="s">
        <v>1883</v>
      </c>
      <c r="H182" s="299">
        <v>900</v>
      </c>
      <c r="I182" s="299">
        <v>1300</v>
      </c>
      <c r="J182" s="298">
        <f>IF(OR(G182="ágazaton kívüli",G182="n.a."),2.2,IF(OR(E182=2,E182=3,E182=4),VLOOKUP(G182,Szakmaszorzók!$B$2:$D$25,2,0),VLOOKUP(G182,Szakmaszorzók!$B$2:$D$25,3,0)))</f>
        <v>2.2000000000000002</v>
      </c>
      <c r="K182" s="320">
        <f>'Támogatás szorzat tényezői'!$C$2*'Támogatás szorzat tényezői'!$C$5*J182*(H182/1000)</f>
        <v>712800.00000000012</v>
      </c>
      <c r="L182" s="300"/>
      <c r="M182" s="319">
        <f t="shared" si="2"/>
        <v>8</v>
      </c>
    </row>
    <row r="183" spans="1:13" ht="15.75" hidden="1" customHeight="1" x14ac:dyDescent="0.25">
      <c r="A183" s="319">
        <v>212</v>
      </c>
      <c r="B183" s="298" t="s">
        <v>3605</v>
      </c>
      <c r="C183" s="313" t="s">
        <v>1494</v>
      </c>
      <c r="D183" s="317" t="s">
        <v>1331</v>
      </c>
      <c r="E183" s="317" t="s">
        <v>3459</v>
      </c>
      <c r="F183" s="317" t="s">
        <v>3481</v>
      </c>
      <c r="G183" s="308" t="s">
        <v>1883</v>
      </c>
      <c r="H183" s="299">
        <v>900</v>
      </c>
      <c r="I183" s="299">
        <v>1300</v>
      </c>
      <c r="J183" s="298">
        <f>IF(OR(G183="ágazaton kívüli",G183="n.a."),2.2,IF(OR(E183=2,E183=3,E183=4),VLOOKUP(G183,Szakmaszorzók!$B$2:$D$25,2,0),VLOOKUP(G183,Szakmaszorzók!$B$2:$D$25,3,0)))</f>
        <v>2.2000000000000002</v>
      </c>
      <c r="K183" s="320">
        <f>'Támogatás szorzat tényezői'!$C$2*'Támogatás szorzat tényezői'!$C$5*J183*(H183/1000)</f>
        <v>712800.00000000012</v>
      </c>
      <c r="L183" s="300"/>
      <c r="M183" s="319">
        <f t="shared" si="2"/>
        <v>8</v>
      </c>
    </row>
    <row r="184" spans="1:13" ht="15.75" hidden="1" customHeight="1" x14ac:dyDescent="0.25">
      <c r="A184" s="319">
        <v>213</v>
      </c>
      <c r="B184" s="298" t="s">
        <v>2951</v>
      </c>
      <c r="C184" s="313" t="s">
        <v>1495</v>
      </c>
      <c r="D184" s="317" t="s">
        <v>1331</v>
      </c>
      <c r="E184" s="317" t="s">
        <v>3459</v>
      </c>
      <c r="F184" s="317" t="s">
        <v>3462</v>
      </c>
      <c r="G184" s="308" t="s">
        <v>1883</v>
      </c>
      <c r="H184" s="299">
        <v>900</v>
      </c>
      <c r="I184" s="299">
        <v>1300</v>
      </c>
      <c r="J184" s="298">
        <f>IF(OR(G184="ágazaton kívüli",G184="n.a."),2.2,IF(OR(E184=2,E184=3,E184=4),VLOOKUP(G184,Szakmaszorzók!$B$2:$D$25,2,0),VLOOKUP(G184,Szakmaszorzók!$B$2:$D$25,3,0)))</f>
        <v>2.2000000000000002</v>
      </c>
      <c r="K184" s="320">
        <f>'Támogatás szorzat tényezői'!$C$2*'Támogatás szorzat tényezői'!$C$5*J184*(H184/1000)</f>
        <v>712800.00000000012</v>
      </c>
      <c r="L184" s="300"/>
      <c r="M184" s="319">
        <f t="shared" si="2"/>
        <v>8</v>
      </c>
    </row>
    <row r="185" spans="1:13" ht="15.75" hidden="1" customHeight="1" x14ac:dyDescent="0.25">
      <c r="A185" s="319">
        <v>214</v>
      </c>
      <c r="B185" s="298" t="s">
        <v>2952</v>
      </c>
      <c r="C185" s="313" t="s">
        <v>1496</v>
      </c>
      <c r="D185" s="317" t="s">
        <v>1331</v>
      </c>
      <c r="E185" s="317" t="s">
        <v>3459</v>
      </c>
      <c r="F185" s="317" t="s">
        <v>3505</v>
      </c>
      <c r="G185" s="308" t="s">
        <v>1883</v>
      </c>
      <c r="H185" s="299">
        <v>900</v>
      </c>
      <c r="I185" s="299">
        <v>1300</v>
      </c>
      <c r="J185" s="298">
        <f>IF(OR(G185="ágazaton kívüli",G185="n.a."),2.2,IF(OR(E185=2,E185=3,E185=4),VLOOKUP(G185,Szakmaszorzók!$B$2:$D$25,2,0),VLOOKUP(G185,Szakmaszorzók!$B$2:$D$25,3,0)))</f>
        <v>2.2000000000000002</v>
      </c>
      <c r="K185" s="320">
        <f>'Támogatás szorzat tényezői'!$C$2*'Támogatás szorzat tényezői'!$C$5*J185*(H185/1000)</f>
        <v>712800.00000000012</v>
      </c>
      <c r="L185" s="300"/>
      <c r="M185" s="319">
        <f t="shared" si="2"/>
        <v>8</v>
      </c>
    </row>
    <row r="186" spans="1:13" ht="15.75" hidden="1" customHeight="1" x14ac:dyDescent="0.25">
      <c r="A186" s="319">
        <v>215</v>
      </c>
      <c r="B186" s="298" t="s">
        <v>2953</v>
      </c>
      <c r="C186" s="313" t="s">
        <v>1497</v>
      </c>
      <c r="D186" s="317" t="s">
        <v>1331</v>
      </c>
      <c r="E186" s="317" t="s">
        <v>3459</v>
      </c>
      <c r="F186" s="317" t="s">
        <v>3502</v>
      </c>
      <c r="G186" s="308" t="s">
        <v>1883</v>
      </c>
      <c r="H186" s="299">
        <v>900</v>
      </c>
      <c r="I186" s="299">
        <v>1300</v>
      </c>
      <c r="J186" s="298">
        <f>IF(OR(G186="ágazaton kívüli",G186="n.a."),2.2,IF(OR(E186=2,E186=3,E186=4),VLOOKUP(G186,Szakmaszorzók!$B$2:$D$25,2,0),VLOOKUP(G186,Szakmaszorzók!$B$2:$D$25,3,0)))</f>
        <v>2.2000000000000002</v>
      </c>
      <c r="K186" s="320">
        <f>'Támogatás szorzat tényezői'!$C$2*'Támogatás szorzat tényezői'!$C$5*J186*(H186/1000)</f>
        <v>712800.00000000012</v>
      </c>
      <c r="L186" s="300"/>
      <c r="M186" s="319">
        <f t="shared" si="2"/>
        <v>8</v>
      </c>
    </row>
    <row r="187" spans="1:13" ht="15.75" hidden="1" customHeight="1" x14ac:dyDescent="0.25">
      <c r="A187" s="319">
        <v>216</v>
      </c>
      <c r="B187" s="298" t="s">
        <v>3606</v>
      </c>
      <c r="C187" s="313" t="s">
        <v>1498</v>
      </c>
      <c r="D187" s="317" t="s">
        <v>1331</v>
      </c>
      <c r="E187" s="317" t="s">
        <v>3459</v>
      </c>
      <c r="F187" s="317" t="s">
        <v>3484</v>
      </c>
      <c r="G187" s="308" t="s">
        <v>1883</v>
      </c>
      <c r="H187" s="299">
        <v>910</v>
      </c>
      <c r="I187" s="299">
        <v>1490</v>
      </c>
      <c r="J187" s="298">
        <f>IF(OR(G187="ágazaton kívüli",G187="n.a."),2.2,IF(OR(E187=2,E187=3,E187=4),VLOOKUP(G187,Szakmaszorzók!$B$2:$D$25,2,0),VLOOKUP(G187,Szakmaszorzók!$B$2:$D$25,3,0)))</f>
        <v>2.2000000000000002</v>
      </c>
      <c r="K187" s="320">
        <f>'Támogatás szorzat tényezői'!$C$2*'Támogatás szorzat tényezői'!$C$5*J187*(H187/1000)</f>
        <v>720720.00000000012</v>
      </c>
      <c r="L187" s="300"/>
      <c r="M187" s="319">
        <f t="shared" si="2"/>
        <v>8</v>
      </c>
    </row>
    <row r="188" spans="1:13" ht="15.75" hidden="1" customHeight="1" x14ac:dyDescent="0.25">
      <c r="A188" s="319">
        <v>217</v>
      </c>
      <c r="B188" s="298" t="s">
        <v>3607</v>
      </c>
      <c r="C188" s="313" t="s">
        <v>1499</v>
      </c>
      <c r="D188" s="317" t="s">
        <v>1331</v>
      </c>
      <c r="E188" s="317" t="s">
        <v>3459</v>
      </c>
      <c r="F188" s="317" t="s">
        <v>3490</v>
      </c>
      <c r="G188" s="308" t="s">
        <v>1883</v>
      </c>
      <c r="H188" s="299">
        <v>900</v>
      </c>
      <c r="I188" s="299">
        <v>1300</v>
      </c>
      <c r="J188" s="298">
        <f>IF(OR(G188="ágazaton kívüli",G188="n.a."),2.2,IF(OR(E188=2,E188=3,E188=4),VLOOKUP(G188,Szakmaszorzók!$B$2:$D$25,2,0),VLOOKUP(G188,Szakmaszorzók!$B$2:$D$25,3,0)))</f>
        <v>2.2000000000000002</v>
      </c>
      <c r="K188" s="320">
        <f>'Támogatás szorzat tényezői'!$C$2*'Támogatás szorzat tényezői'!$C$5*J188*(H188/1000)</f>
        <v>712800.00000000012</v>
      </c>
      <c r="L188" s="300"/>
      <c r="M188" s="319">
        <f t="shared" si="2"/>
        <v>8</v>
      </c>
    </row>
    <row r="189" spans="1:13" ht="15.75" hidden="1" customHeight="1" x14ac:dyDescent="0.25">
      <c r="A189" s="319">
        <v>218</v>
      </c>
      <c r="B189" s="298" t="s">
        <v>3608</v>
      </c>
      <c r="C189" s="313" t="s">
        <v>1500</v>
      </c>
      <c r="D189" s="317" t="s">
        <v>1331</v>
      </c>
      <c r="E189" s="317" t="s">
        <v>3459</v>
      </c>
      <c r="F189" s="317" t="s">
        <v>3480</v>
      </c>
      <c r="G189" s="308" t="s">
        <v>1883</v>
      </c>
      <c r="H189" s="299">
        <v>900</v>
      </c>
      <c r="I189" s="299">
        <v>1300</v>
      </c>
      <c r="J189" s="298">
        <f>IF(OR(G189="ágazaton kívüli",G189="n.a."),2.2,IF(OR(E189=2,E189=3,E189=4),VLOOKUP(G189,Szakmaszorzók!$B$2:$D$25,2,0),VLOOKUP(G189,Szakmaszorzók!$B$2:$D$25,3,0)))</f>
        <v>2.2000000000000002</v>
      </c>
      <c r="K189" s="320">
        <f>'Támogatás szorzat tényezői'!$C$2*'Támogatás szorzat tényezői'!$C$5*J189*(H189/1000)</f>
        <v>712800.00000000012</v>
      </c>
      <c r="L189" s="300"/>
      <c r="M189" s="319">
        <f t="shared" si="2"/>
        <v>8</v>
      </c>
    </row>
    <row r="190" spans="1:13" ht="15.75" hidden="1" customHeight="1" x14ac:dyDescent="0.25">
      <c r="A190" s="319">
        <v>219</v>
      </c>
      <c r="B190" s="298" t="s">
        <v>3609</v>
      </c>
      <c r="C190" s="313" t="s">
        <v>1501</v>
      </c>
      <c r="D190" s="317" t="s">
        <v>1331</v>
      </c>
      <c r="E190" s="317" t="s">
        <v>3459</v>
      </c>
      <c r="F190" s="317" t="s">
        <v>3461</v>
      </c>
      <c r="G190" s="308" t="s">
        <v>1883</v>
      </c>
      <c r="H190" s="299">
        <v>900</v>
      </c>
      <c r="I190" s="299">
        <v>1300</v>
      </c>
      <c r="J190" s="298">
        <f>IF(OR(G190="ágazaton kívüli",G190="n.a."),2.2,IF(OR(E190=2,E190=3,E190=4),VLOOKUP(G190,Szakmaszorzók!$B$2:$D$25,2,0),VLOOKUP(G190,Szakmaszorzók!$B$2:$D$25,3,0)))</f>
        <v>2.2000000000000002</v>
      </c>
      <c r="K190" s="320">
        <f>'Támogatás szorzat tényezői'!$C$2*'Támogatás szorzat tényezői'!$C$5*J190*(H190/1000)</f>
        <v>712800.00000000012</v>
      </c>
      <c r="L190" s="300"/>
      <c r="M190" s="319">
        <f t="shared" si="2"/>
        <v>8</v>
      </c>
    </row>
    <row r="191" spans="1:13" ht="15.75" hidden="1" customHeight="1" x14ac:dyDescent="0.25">
      <c r="A191" s="319">
        <v>28</v>
      </c>
      <c r="B191" s="298" t="s">
        <v>2878</v>
      </c>
      <c r="C191" s="313" t="s">
        <v>1673</v>
      </c>
      <c r="D191" s="317" t="s">
        <v>1302</v>
      </c>
      <c r="E191" s="317" t="s">
        <v>3458</v>
      </c>
      <c r="F191" s="317" t="s">
        <v>3490</v>
      </c>
      <c r="G191" s="299" t="s">
        <v>1287</v>
      </c>
      <c r="H191" s="299">
        <v>500</v>
      </c>
      <c r="I191" s="299">
        <v>700</v>
      </c>
      <c r="J191" s="298">
        <f>IF(OR(G191="ágazaton kívüli",G191="n.a."),2.2,IF(OR(E191=2,E191=3,E191=4),VLOOKUP(G191,Szakmaszorzók!$B$2:$D$25,2,0),VLOOKUP(G191,Szakmaszorzók!$B$2:$D$25,3,0)))</f>
        <v>2.85</v>
      </c>
      <c r="K191" s="320">
        <f>'Támogatás szorzat tényezői'!$C$2*'Támogatás szorzat tényezői'!$C$5*J191*(H191/1000)</f>
        <v>513000</v>
      </c>
      <c r="L191" s="300"/>
      <c r="M191" s="319">
        <f t="shared" si="2"/>
        <v>8</v>
      </c>
    </row>
    <row r="192" spans="1:13" ht="15.75" hidden="1" customHeight="1" x14ac:dyDescent="0.25">
      <c r="A192" s="319">
        <v>29</v>
      </c>
      <c r="B192" s="298" t="s">
        <v>3491</v>
      </c>
      <c r="C192" s="313" t="s">
        <v>1662</v>
      </c>
      <c r="D192" s="317" t="s">
        <v>1311</v>
      </c>
      <c r="E192" s="317" t="s">
        <v>3459</v>
      </c>
      <c r="F192" s="317" t="s">
        <v>3492</v>
      </c>
      <c r="G192" s="299" t="s">
        <v>1290</v>
      </c>
      <c r="H192" s="299">
        <v>800</v>
      </c>
      <c r="I192" s="299">
        <v>1200</v>
      </c>
      <c r="J192" s="298">
        <f>IF(OR(G192="ágazaton kívüli",G192="n.a."),2.2,IF(OR(E192=2,E192=3,E192=4),VLOOKUP(G192,Szakmaszorzók!$B$2:$D$25,2,0),VLOOKUP(G192,Szakmaszorzók!$B$2:$D$25,3,0)))</f>
        <v>2.85</v>
      </c>
      <c r="K192" s="320">
        <f>'Támogatás szorzat tényezői'!$C$2*'Támogatás szorzat tényezői'!$C$5*J192*(H192/1000)</f>
        <v>820800</v>
      </c>
      <c r="L192" s="300"/>
      <c r="M192" s="319">
        <f t="shared" si="2"/>
        <v>8</v>
      </c>
    </row>
    <row r="193" spans="1:13" ht="15.75" hidden="1" customHeight="1" x14ac:dyDescent="0.25">
      <c r="A193" s="319">
        <v>99</v>
      </c>
      <c r="B193" s="298" t="s">
        <v>2922</v>
      </c>
      <c r="C193" s="313" t="s">
        <v>1682</v>
      </c>
      <c r="D193" s="317" t="s">
        <v>3533</v>
      </c>
      <c r="E193" s="317" t="s">
        <v>3459</v>
      </c>
      <c r="F193" s="317" t="s">
        <v>3456</v>
      </c>
      <c r="G193" s="299" t="s">
        <v>1316</v>
      </c>
      <c r="H193" s="299">
        <v>320</v>
      </c>
      <c r="I193" s="299">
        <v>480</v>
      </c>
      <c r="J193" s="298">
        <f>IF(OR(G193="ágazaton kívüli",G193="n.a."),2.2,IF(OR(E193=2,E193=3,E193=4),VLOOKUP(G193,Szakmaszorzók!$B$2:$D$25,2,0),VLOOKUP(G193,Szakmaszorzók!$B$2:$D$25,3,0)))</f>
        <v>2.85</v>
      </c>
      <c r="K193" s="320">
        <f>'Támogatás szorzat tényezői'!$C$2*'Támogatás szorzat tényezői'!$C$5*J193*(H193/1000)</f>
        <v>328320</v>
      </c>
      <c r="L193" s="300"/>
      <c r="M193" s="319">
        <f t="shared" si="2"/>
        <v>8</v>
      </c>
    </row>
    <row r="194" spans="1:13" ht="15.75" hidden="1" customHeight="1" x14ac:dyDescent="0.25">
      <c r="A194" s="319">
        <v>391</v>
      </c>
      <c r="B194" s="298" t="s">
        <v>3121</v>
      </c>
      <c r="C194" s="313" t="s">
        <v>3122</v>
      </c>
      <c r="D194" s="317" t="s">
        <v>3743</v>
      </c>
      <c r="E194" s="317" t="s">
        <v>3455</v>
      </c>
      <c r="F194" s="317" t="s">
        <v>3456</v>
      </c>
      <c r="G194" s="299" t="s">
        <v>1321</v>
      </c>
      <c r="H194" s="299">
        <v>640</v>
      </c>
      <c r="I194" s="299">
        <v>720</v>
      </c>
      <c r="J194" s="298">
        <f>IF(OR(G194="ágazaton kívüli",G194="n.a."),2.2,IF(OR(E194=2,E194=3,E194=4),VLOOKUP(G194,Szakmaszorzók!$B$2:$D$25,2,0),VLOOKUP(G194,Szakmaszorzók!$B$2:$D$25,3,0)))</f>
        <v>2.85</v>
      </c>
      <c r="K194" s="320">
        <f>'Támogatás szorzat tényezői'!$C$2*'Támogatás szorzat tényezői'!$C$5*J194*(H194/1000)</f>
        <v>656640</v>
      </c>
      <c r="L194" s="300"/>
      <c r="M194" s="319">
        <f t="shared" ref="M194:M257" si="3">LEN(C194)</f>
        <v>8</v>
      </c>
    </row>
    <row r="195" spans="1:13" ht="15.75" hidden="1" customHeight="1" x14ac:dyDescent="0.25">
      <c r="A195" s="319">
        <v>392</v>
      </c>
      <c r="B195" s="298" t="s">
        <v>3744</v>
      </c>
      <c r="C195" s="313" t="s">
        <v>3131</v>
      </c>
      <c r="D195" s="317" t="s">
        <v>3743</v>
      </c>
      <c r="E195" s="317" t="s">
        <v>3455</v>
      </c>
      <c r="F195" s="317" t="s">
        <v>3484</v>
      </c>
      <c r="G195" s="299" t="s">
        <v>1321</v>
      </c>
      <c r="H195" s="299">
        <v>450</v>
      </c>
      <c r="I195" s="299">
        <v>650</v>
      </c>
      <c r="J195" s="298">
        <f>IF(OR(G195="ágazaton kívüli",G195="n.a."),2.2,IF(OR(E195=2,E195=3,E195=4),VLOOKUP(G195,Szakmaszorzók!$B$2:$D$25,2,0),VLOOKUP(G195,Szakmaszorzók!$B$2:$D$25,3,0)))</f>
        <v>2.85</v>
      </c>
      <c r="K195" s="320">
        <f>'Támogatás szorzat tényezői'!$C$2*'Támogatás szorzat tényezői'!$C$5*J195*(H195/1000)</f>
        <v>461700</v>
      </c>
      <c r="L195" s="300"/>
      <c r="M195" s="319">
        <f t="shared" si="3"/>
        <v>8</v>
      </c>
    </row>
    <row r="196" spans="1:13" ht="15.75" hidden="1" customHeight="1" x14ac:dyDescent="0.25">
      <c r="A196" s="319">
        <v>393</v>
      </c>
      <c r="B196" s="298" t="s">
        <v>3745</v>
      </c>
      <c r="C196" s="313" t="s">
        <v>3143</v>
      </c>
      <c r="D196" s="317" t="s">
        <v>3743</v>
      </c>
      <c r="E196" s="317" t="s">
        <v>3455</v>
      </c>
      <c r="F196" s="317" t="s">
        <v>3477</v>
      </c>
      <c r="G196" s="299" t="s">
        <v>1321</v>
      </c>
      <c r="H196" s="299">
        <v>600</v>
      </c>
      <c r="I196" s="299">
        <v>650</v>
      </c>
      <c r="J196" s="298">
        <f>IF(OR(G196="ágazaton kívüli",G196="n.a."),2.2,IF(OR(E196=2,E196=3,E196=4),VLOOKUP(G196,Szakmaszorzók!$B$2:$D$25,2,0),VLOOKUP(G196,Szakmaszorzók!$B$2:$D$25,3,0)))</f>
        <v>2.85</v>
      </c>
      <c r="K196" s="320">
        <f>'Támogatás szorzat tényezői'!$C$2*'Támogatás szorzat tényezői'!$C$5*J196*(H196/1000)</f>
        <v>615600</v>
      </c>
      <c r="L196" s="300"/>
      <c r="M196" s="319">
        <f t="shared" si="3"/>
        <v>8</v>
      </c>
    </row>
    <row r="197" spans="1:13" ht="15.75" hidden="1" customHeight="1" x14ac:dyDescent="0.25">
      <c r="A197" s="319">
        <v>394</v>
      </c>
      <c r="B197" s="298" t="s">
        <v>3141</v>
      </c>
      <c r="C197" s="313" t="s">
        <v>3142</v>
      </c>
      <c r="D197" s="317" t="s">
        <v>3743</v>
      </c>
      <c r="E197" s="317" t="s">
        <v>3455</v>
      </c>
      <c r="F197" s="317" t="s">
        <v>3473</v>
      </c>
      <c r="G197" s="299" t="s">
        <v>1321</v>
      </c>
      <c r="H197" s="299">
        <v>779</v>
      </c>
      <c r="I197" s="299">
        <v>865</v>
      </c>
      <c r="J197" s="298">
        <f>IF(OR(G197="ágazaton kívüli",G197="n.a."),2.2,IF(OR(E197=2,E197=3,E197=4),VLOOKUP(G197,Szakmaszorzók!$B$2:$D$25,2,0),VLOOKUP(G197,Szakmaszorzók!$B$2:$D$25,3,0)))</f>
        <v>2.85</v>
      </c>
      <c r="K197" s="320">
        <f>'Támogatás szorzat tényezői'!$C$2*'Támogatás szorzat tényezői'!$C$5*J197*(H197/1000)</f>
        <v>799254</v>
      </c>
      <c r="L197" s="300"/>
      <c r="M197" s="319">
        <f t="shared" si="3"/>
        <v>8</v>
      </c>
    </row>
    <row r="198" spans="1:13" ht="15.75" hidden="1" customHeight="1" x14ac:dyDescent="0.25">
      <c r="A198" s="319">
        <v>395</v>
      </c>
      <c r="B198" s="298" t="s">
        <v>3129</v>
      </c>
      <c r="C198" s="313" t="s">
        <v>3130</v>
      </c>
      <c r="D198" s="317" t="s">
        <v>3743</v>
      </c>
      <c r="E198" s="317" t="s">
        <v>3455</v>
      </c>
      <c r="F198" s="317" t="s">
        <v>3502</v>
      </c>
      <c r="G198" s="299" t="s">
        <v>1321</v>
      </c>
      <c r="H198" s="299">
        <v>462</v>
      </c>
      <c r="I198" s="299">
        <v>544</v>
      </c>
      <c r="J198" s="298">
        <f>IF(OR(G198="ágazaton kívüli",G198="n.a."),2.2,IF(OR(E198=2,E198=3,E198=4),VLOOKUP(G198,Szakmaszorzók!$B$2:$D$25,2,0),VLOOKUP(G198,Szakmaszorzók!$B$2:$D$25,3,0)))</f>
        <v>2.85</v>
      </c>
      <c r="K198" s="320">
        <f>'Támogatás szorzat tényezői'!$C$2*'Támogatás szorzat tényezői'!$C$5*J198*(H198/1000)</f>
        <v>474012</v>
      </c>
      <c r="L198" s="300"/>
      <c r="M198" s="319">
        <f t="shared" si="3"/>
        <v>8</v>
      </c>
    </row>
    <row r="199" spans="1:13" ht="15.75" hidden="1" customHeight="1" x14ac:dyDescent="0.25">
      <c r="A199" s="319">
        <v>396</v>
      </c>
      <c r="B199" s="298" t="s">
        <v>3746</v>
      </c>
      <c r="C199" s="313" t="s">
        <v>3128</v>
      </c>
      <c r="D199" s="317" t="s">
        <v>3743</v>
      </c>
      <c r="E199" s="317" t="s">
        <v>3455</v>
      </c>
      <c r="F199" s="317" t="s">
        <v>3505</v>
      </c>
      <c r="G199" s="299" t="s">
        <v>1321</v>
      </c>
      <c r="H199" s="299">
        <v>510</v>
      </c>
      <c r="I199" s="299">
        <v>639</v>
      </c>
      <c r="J199" s="298">
        <f>IF(OR(G199="ágazaton kívüli",G199="n.a."),2.2,IF(OR(E199=2,E199=3,E199=4),VLOOKUP(G199,Szakmaszorzók!$B$2:$D$25,2,0),VLOOKUP(G199,Szakmaszorzók!$B$2:$D$25,3,0)))</f>
        <v>2.85</v>
      </c>
      <c r="K199" s="320">
        <f>'Támogatás szorzat tényezői'!$C$2*'Támogatás szorzat tényezői'!$C$5*J199*(H199/1000)</f>
        <v>523260</v>
      </c>
      <c r="L199" s="300"/>
      <c r="M199" s="319">
        <f t="shared" si="3"/>
        <v>8</v>
      </c>
    </row>
    <row r="200" spans="1:13" ht="15.75" hidden="1" customHeight="1" x14ac:dyDescent="0.25">
      <c r="A200" s="319">
        <v>397</v>
      </c>
      <c r="B200" s="298" t="s">
        <v>3139</v>
      </c>
      <c r="C200" s="313" t="s">
        <v>3140</v>
      </c>
      <c r="D200" s="317" t="s">
        <v>3743</v>
      </c>
      <c r="E200" s="317" t="s">
        <v>3455</v>
      </c>
      <c r="F200" s="317" t="s">
        <v>3483</v>
      </c>
      <c r="G200" s="299" t="s">
        <v>1321</v>
      </c>
      <c r="H200" s="299">
        <v>855</v>
      </c>
      <c r="I200" s="299">
        <v>950</v>
      </c>
      <c r="J200" s="298">
        <f>IF(OR(G200="ágazaton kívüli",G200="n.a."),2.2,IF(OR(E200=2,E200=3,E200=4),VLOOKUP(G200,Szakmaszorzók!$B$2:$D$25,2,0),VLOOKUP(G200,Szakmaszorzók!$B$2:$D$25,3,0)))</f>
        <v>2.85</v>
      </c>
      <c r="K200" s="320">
        <f>'Támogatás szorzat tényezői'!$C$2*'Támogatás szorzat tényezői'!$C$5*J200*(H200/1000)</f>
        <v>877230</v>
      </c>
      <c r="L200" s="300"/>
      <c r="M200" s="319">
        <f t="shared" si="3"/>
        <v>8</v>
      </c>
    </row>
    <row r="201" spans="1:13" ht="15.75" hidden="1" customHeight="1" x14ac:dyDescent="0.25">
      <c r="A201" s="319">
        <v>398</v>
      </c>
      <c r="B201" s="298" t="s">
        <v>3747</v>
      </c>
      <c r="C201" s="313" t="s">
        <v>3138</v>
      </c>
      <c r="D201" s="317" t="s">
        <v>3743</v>
      </c>
      <c r="E201" s="317" t="s">
        <v>3455</v>
      </c>
      <c r="F201" s="317" t="s">
        <v>3471</v>
      </c>
      <c r="G201" s="299" t="s">
        <v>1321</v>
      </c>
      <c r="H201" s="299">
        <v>838</v>
      </c>
      <c r="I201" s="299">
        <v>927</v>
      </c>
      <c r="J201" s="298">
        <f>IF(OR(G201="ágazaton kívüli",G201="n.a."),2.2,IF(OR(E201=2,E201=3,E201=4),VLOOKUP(G201,Szakmaszorzók!$B$2:$D$25,2,0),VLOOKUP(G201,Szakmaszorzók!$B$2:$D$25,3,0)))</f>
        <v>2.85</v>
      </c>
      <c r="K201" s="320">
        <f>'Támogatás szorzat tényezői'!$C$2*'Támogatás szorzat tényezői'!$C$5*J201*(H201/1000)</f>
        <v>859788</v>
      </c>
      <c r="L201" s="300"/>
      <c r="M201" s="319">
        <f t="shared" si="3"/>
        <v>8</v>
      </c>
    </row>
    <row r="202" spans="1:13" ht="15.75" hidden="1" customHeight="1" x14ac:dyDescent="0.25">
      <c r="A202" s="319">
        <v>399</v>
      </c>
      <c r="B202" s="298" t="s">
        <v>3136</v>
      </c>
      <c r="C202" s="313" t="s">
        <v>3137</v>
      </c>
      <c r="D202" s="317" t="s">
        <v>3743</v>
      </c>
      <c r="E202" s="317" t="s">
        <v>3455</v>
      </c>
      <c r="F202" s="317" t="s">
        <v>3460</v>
      </c>
      <c r="G202" s="299" t="s">
        <v>1321</v>
      </c>
      <c r="H202" s="299">
        <v>570</v>
      </c>
      <c r="I202" s="299">
        <v>590</v>
      </c>
      <c r="J202" s="298">
        <f>IF(OR(G202="ágazaton kívüli",G202="n.a."),2.2,IF(OR(E202=2,E202=3,E202=4),VLOOKUP(G202,Szakmaszorzók!$B$2:$D$25,2,0),VLOOKUP(G202,Szakmaszorzók!$B$2:$D$25,3,0)))</f>
        <v>2.85</v>
      </c>
      <c r="K202" s="320">
        <f>'Támogatás szorzat tényezői'!$C$2*'Támogatás szorzat tényezői'!$C$5*J202*(H202/1000)</f>
        <v>584820</v>
      </c>
      <c r="L202" s="300"/>
      <c r="M202" s="319">
        <f t="shared" si="3"/>
        <v>8</v>
      </c>
    </row>
    <row r="203" spans="1:13" ht="15.75" hidden="1" customHeight="1" x14ac:dyDescent="0.25">
      <c r="A203" s="319">
        <v>400</v>
      </c>
      <c r="B203" s="298" t="s">
        <v>3748</v>
      </c>
      <c r="C203" s="313" t="s">
        <v>3135</v>
      </c>
      <c r="D203" s="317" t="s">
        <v>3743</v>
      </c>
      <c r="E203" s="317" t="s">
        <v>3455</v>
      </c>
      <c r="F203" s="317" t="s">
        <v>3461</v>
      </c>
      <c r="G203" s="299" t="s">
        <v>1321</v>
      </c>
      <c r="H203" s="299">
        <v>526</v>
      </c>
      <c r="I203" s="299">
        <v>656</v>
      </c>
      <c r="J203" s="298">
        <f>IF(OR(G203="ágazaton kívüli",G203="n.a."),2.2,IF(OR(E203=2,E203=3,E203=4),VLOOKUP(G203,Szakmaszorzók!$B$2:$D$25,2,0),VLOOKUP(G203,Szakmaszorzók!$B$2:$D$25,3,0)))</f>
        <v>2.85</v>
      </c>
      <c r="K203" s="320">
        <f>'Támogatás szorzat tényezői'!$C$2*'Támogatás szorzat tényezői'!$C$5*J203*(H203/1000)</f>
        <v>539676</v>
      </c>
      <c r="L203" s="300"/>
      <c r="M203" s="319">
        <f t="shared" si="3"/>
        <v>8</v>
      </c>
    </row>
    <row r="204" spans="1:13" ht="15.75" hidden="1" customHeight="1" x14ac:dyDescent="0.25">
      <c r="A204" s="319">
        <v>401</v>
      </c>
      <c r="B204" s="298" t="s">
        <v>3749</v>
      </c>
      <c r="C204" s="313" t="s">
        <v>3134</v>
      </c>
      <c r="D204" s="317" t="s">
        <v>3743</v>
      </c>
      <c r="E204" s="317" t="s">
        <v>3455</v>
      </c>
      <c r="F204" s="317" t="s">
        <v>3480</v>
      </c>
      <c r="G204" s="299" t="s">
        <v>1321</v>
      </c>
      <c r="H204" s="299">
        <v>526</v>
      </c>
      <c r="I204" s="299">
        <v>656</v>
      </c>
      <c r="J204" s="298">
        <f>IF(OR(G204="ágazaton kívüli",G204="n.a."),2.2,IF(OR(E204=2,E204=3,E204=4),VLOOKUP(G204,Szakmaszorzók!$B$2:$D$25,2,0),VLOOKUP(G204,Szakmaszorzók!$B$2:$D$25,3,0)))</f>
        <v>2.85</v>
      </c>
      <c r="K204" s="320">
        <f>'Támogatás szorzat tényezői'!$C$2*'Támogatás szorzat tényezői'!$C$5*J204*(H204/1000)</f>
        <v>539676</v>
      </c>
      <c r="L204" s="300"/>
      <c r="M204" s="319">
        <f t="shared" si="3"/>
        <v>8</v>
      </c>
    </row>
    <row r="205" spans="1:13" ht="15.75" hidden="1" customHeight="1" x14ac:dyDescent="0.25">
      <c r="A205" s="319">
        <v>402</v>
      </c>
      <c r="B205" s="298" t="s">
        <v>3155</v>
      </c>
      <c r="C205" s="313" t="s">
        <v>3156</v>
      </c>
      <c r="D205" s="317" t="s">
        <v>3743</v>
      </c>
      <c r="E205" s="317" t="s">
        <v>3455</v>
      </c>
      <c r="F205" s="317" t="s">
        <v>3492</v>
      </c>
      <c r="G205" s="299" t="s">
        <v>1321</v>
      </c>
      <c r="H205" s="299">
        <v>525</v>
      </c>
      <c r="I205" s="299">
        <v>564</v>
      </c>
      <c r="J205" s="298">
        <f>IF(OR(G205="ágazaton kívüli",G205="n.a."),2.2,IF(OR(E205=2,E205=3,E205=4),VLOOKUP(G205,Szakmaszorzók!$B$2:$D$25,2,0),VLOOKUP(G205,Szakmaszorzók!$B$2:$D$25,3,0)))</f>
        <v>2.85</v>
      </c>
      <c r="K205" s="320">
        <f>'Támogatás szorzat tényezői'!$C$2*'Támogatás szorzat tényezői'!$C$5*J205*(H205/1000)</f>
        <v>538650</v>
      </c>
      <c r="L205" s="300"/>
      <c r="M205" s="319">
        <f t="shared" si="3"/>
        <v>8</v>
      </c>
    </row>
    <row r="206" spans="1:13" ht="15.75" hidden="1" customHeight="1" x14ac:dyDescent="0.25">
      <c r="A206" s="319">
        <v>403</v>
      </c>
      <c r="B206" s="298" t="s">
        <v>3750</v>
      </c>
      <c r="C206" s="313" t="s">
        <v>3127</v>
      </c>
      <c r="D206" s="317" t="s">
        <v>3743</v>
      </c>
      <c r="E206" s="317" t="s">
        <v>3455</v>
      </c>
      <c r="F206" s="317" t="s">
        <v>3462</v>
      </c>
      <c r="G206" s="299" t="s">
        <v>1321</v>
      </c>
      <c r="H206" s="299">
        <v>567</v>
      </c>
      <c r="I206" s="299">
        <v>681</v>
      </c>
      <c r="J206" s="298">
        <f>IF(OR(G206="ágazaton kívüli",G206="n.a."),2.2,IF(OR(E206=2,E206=3,E206=4),VLOOKUP(G206,Szakmaszorzók!$B$2:$D$25,2,0),VLOOKUP(G206,Szakmaszorzók!$B$2:$D$25,3,0)))</f>
        <v>2.85</v>
      </c>
      <c r="K206" s="320">
        <f>'Támogatás szorzat tényezői'!$C$2*'Támogatás szorzat tényezői'!$C$5*J206*(H206/1000)</f>
        <v>581742</v>
      </c>
      <c r="L206" s="300"/>
      <c r="M206" s="319">
        <f t="shared" si="3"/>
        <v>8</v>
      </c>
    </row>
    <row r="207" spans="1:13" ht="15.75" hidden="1" customHeight="1" x14ac:dyDescent="0.25">
      <c r="A207" s="319">
        <v>404</v>
      </c>
      <c r="B207" s="298" t="s">
        <v>3145</v>
      </c>
      <c r="C207" s="313" t="s">
        <v>3146</v>
      </c>
      <c r="D207" s="317" t="s">
        <v>3743</v>
      </c>
      <c r="E207" s="317" t="s">
        <v>3455</v>
      </c>
      <c r="F207" s="317" t="s">
        <v>3469</v>
      </c>
      <c r="G207" s="299" t="s">
        <v>1321</v>
      </c>
      <c r="H207" s="299">
        <v>380</v>
      </c>
      <c r="I207" s="299">
        <v>420</v>
      </c>
      <c r="J207" s="298">
        <f>IF(OR(G207="ágazaton kívüli",G207="n.a."),2.2,IF(OR(E207=2,E207=3,E207=4),VLOOKUP(G207,Szakmaszorzók!$B$2:$D$25,2,0),VLOOKUP(G207,Szakmaszorzók!$B$2:$D$25,3,0)))</f>
        <v>2.85</v>
      </c>
      <c r="K207" s="320">
        <f>'Támogatás szorzat tényezői'!$C$2*'Támogatás szorzat tényezői'!$C$5*J207*(H207/1000)</f>
        <v>389880</v>
      </c>
      <c r="L207" s="300"/>
      <c r="M207" s="319">
        <f t="shared" si="3"/>
        <v>8</v>
      </c>
    </row>
    <row r="208" spans="1:13" ht="15.75" hidden="1" customHeight="1" x14ac:dyDescent="0.25">
      <c r="A208" s="319">
        <v>406</v>
      </c>
      <c r="B208" s="298" t="s">
        <v>3752</v>
      </c>
      <c r="C208" s="313" t="s">
        <v>3144</v>
      </c>
      <c r="D208" s="317" t="s">
        <v>3743</v>
      </c>
      <c r="E208" s="317" t="s">
        <v>3455</v>
      </c>
      <c r="F208" s="317" t="s">
        <v>3472</v>
      </c>
      <c r="G208" s="299" t="s">
        <v>1321</v>
      </c>
      <c r="H208" s="299">
        <v>600</v>
      </c>
      <c r="I208" s="299">
        <v>650</v>
      </c>
      <c r="J208" s="298">
        <f>IF(OR(G208="ágazaton kívüli",G208="n.a."),2.2,IF(OR(E208=2,E208=3,E208=4),VLOOKUP(G208,Szakmaszorzók!$B$2:$D$25,2,0),VLOOKUP(G208,Szakmaszorzók!$B$2:$D$25,3,0)))</f>
        <v>2.85</v>
      </c>
      <c r="K208" s="320">
        <f>'Támogatás szorzat tényezői'!$C$2*'Támogatás szorzat tényezői'!$C$5*J208*(H208/1000)</f>
        <v>615600</v>
      </c>
      <c r="L208" s="300"/>
      <c r="M208" s="319">
        <f t="shared" si="3"/>
        <v>8</v>
      </c>
    </row>
    <row r="209" spans="1:13" ht="15.75" hidden="1" customHeight="1" x14ac:dyDescent="0.25">
      <c r="A209" s="319">
        <v>405</v>
      </c>
      <c r="B209" s="298" t="s">
        <v>3751</v>
      </c>
      <c r="C209" s="313" t="s">
        <v>3152</v>
      </c>
      <c r="D209" s="317" t="s">
        <v>3743</v>
      </c>
      <c r="E209" s="317" t="s">
        <v>3455</v>
      </c>
      <c r="F209" s="317" t="s">
        <v>3470</v>
      </c>
      <c r="G209" s="299" t="s">
        <v>1321</v>
      </c>
      <c r="H209" s="299">
        <v>578</v>
      </c>
      <c r="I209" s="299">
        <v>713</v>
      </c>
      <c r="J209" s="298">
        <f>IF(OR(G209="ágazaton kívüli",G209="n.a."),2.2,IF(OR(E209=2,E209=3,E209=4),VLOOKUP(G209,Szakmaszorzók!$B$2:$D$25,2,0),VLOOKUP(G209,Szakmaszorzók!$B$2:$D$25,3,0)))</f>
        <v>2.85</v>
      </c>
      <c r="K209" s="320">
        <f>'Támogatás szorzat tényezői'!$C$2*'Támogatás szorzat tényezői'!$C$5*J209*(H209/1000)</f>
        <v>593028</v>
      </c>
      <c r="L209" s="300"/>
      <c r="M209" s="319">
        <f t="shared" si="3"/>
        <v>8</v>
      </c>
    </row>
    <row r="210" spans="1:13" ht="15.75" hidden="1" customHeight="1" x14ac:dyDescent="0.25">
      <c r="A210" s="319">
        <v>407</v>
      </c>
      <c r="B210" s="298" t="s">
        <v>3125</v>
      </c>
      <c r="C210" s="313" t="s">
        <v>3126</v>
      </c>
      <c r="D210" s="317" t="s">
        <v>3743</v>
      </c>
      <c r="E210" s="317" t="s">
        <v>3455</v>
      </c>
      <c r="F210" s="317" t="s">
        <v>3481</v>
      </c>
      <c r="G210" s="299" t="s">
        <v>1321</v>
      </c>
      <c r="H210" s="299">
        <v>587</v>
      </c>
      <c r="I210" s="299">
        <v>664</v>
      </c>
      <c r="J210" s="298">
        <f>IF(OR(G210="ágazaton kívüli",G210="n.a."),2.2,IF(OR(E210=2,E210=3,E210=4),VLOOKUP(G210,Szakmaszorzók!$B$2:$D$25,2,0),VLOOKUP(G210,Szakmaszorzók!$B$2:$D$25,3,0)))</f>
        <v>2.85</v>
      </c>
      <c r="K210" s="320">
        <f>'Támogatás szorzat tényezői'!$C$2*'Támogatás szorzat tényezői'!$C$5*J210*(H210/1000)</f>
        <v>602262</v>
      </c>
      <c r="L210" s="300"/>
      <c r="M210" s="319">
        <f t="shared" si="3"/>
        <v>8</v>
      </c>
    </row>
    <row r="211" spans="1:13" ht="15.75" hidden="1" customHeight="1" x14ac:dyDescent="0.25">
      <c r="A211" s="319">
        <v>408</v>
      </c>
      <c r="B211" s="298" t="s">
        <v>3123</v>
      </c>
      <c r="C211" s="313" t="s">
        <v>3124</v>
      </c>
      <c r="D211" s="317" t="s">
        <v>3743</v>
      </c>
      <c r="E211" s="317" t="s">
        <v>3455</v>
      </c>
      <c r="F211" s="317" t="s">
        <v>3464</v>
      </c>
      <c r="G211" s="299" t="s">
        <v>1321</v>
      </c>
      <c r="H211" s="299">
        <v>460</v>
      </c>
      <c r="I211" s="299">
        <v>501</v>
      </c>
      <c r="J211" s="298">
        <f>IF(OR(G211="ágazaton kívüli",G211="n.a."),2.2,IF(OR(E211=2,E211=3,E211=4),VLOOKUP(G211,Szakmaszorzók!$B$2:$D$25,2,0),VLOOKUP(G211,Szakmaszorzók!$B$2:$D$25,3,0)))</f>
        <v>2.85</v>
      </c>
      <c r="K211" s="320">
        <f>'Támogatás szorzat tényezői'!$C$2*'Támogatás szorzat tényezői'!$C$5*J211*(H211/1000)</f>
        <v>471960</v>
      </c>
      <c r="L211" s="300"/>
      <c r="M211" s="319">
        <f t="shared" si="3"/>
        <v>8</v>
      </c>
    </row>
    <row r="212" spans="1:13" ht="15.75" hidden="1" customHeight="1" x14ac:dyDescent="0.25">
      <c r="A212" s="319">
        <v>409</v>
      </c>
      <c r="B212" s="298" t="s">
        <v>3150</v>
      </c>
      <c r="C212" s="313" t="s">
        <v>3151</v>
      </c>
      <c r="D212" s="317" t="s">
        <v>3743</v>
      </c>
      <c r="E212" s="317" t="s">
        <v>3455</v>
      </c>
      <c r="F212" s="317" t="s">
        <v>3487</v>
      </c>
      <c r="G212" s="299" t="s">
        <v>1321</v>
      </c>
      <c r="H212" s="299">
        <v>714</v>
      </c>
      <c r="I212" s="299">
        <v>730</v>
      </c>
      <c r="J212" s="298">
        <f>IF(OR(G212="ágazaton kívüli",G212="n.a."),2.2,IF(OR(E212=2,E212=3,E212=4),VLOOKUP(G212,Szakmaszorzók!$B$2:$D$25,2,0),VLOOKUP(G212,Szakmaszorzók!$B$2:$D$25,3,0)))</f>
        <v>2.85</v>
      </c>
      <c r="K212" s="320">
        <f>'Támogatás szorzat tényezői'!$C$2*'Támogatás szorzat tényezői'!$C$5*J212*(H212/1000)</f>
        <v>732564</v>
      </c>
      <c r="L212" s="300"/>
      <c r="M212" s="319">
        <f t="shared" si="3"/>
        <v>8</v>
      </c>
    </row>
    <row r="213" spans="1:13" ht="15.75" hidden="1" customHeight="1" x14ac:dyDescent="0.25">
      <c r="A213" s="319">
        <v>410</v>
      </c>
      <c r="B213" s="298" t="s">
        <v>3153</v>
      </c>
      <c r="C213" s="313" t="s">
        <v>3154</v>
      </c>
      <c r="D213" s="317" t="s">
        <v>3743</v>
      </c>
      <c r="E213" s="317" t="s">
        <v>3455</v>
      </c>
      <c r="F213" s="317" t="s">
        <v>3489</v>
      </c>
      <c r="G213" s="299" t="s">
        <v>1321</v>
      </c>
      <c r="H213" s="299">
        <v>348</v>
      </c>
      <c r="I213" s="299">
        <v>390</v>
      </c>
      <c r="J213" s="298">
        <f>IF(OR(G213="ágazaton kívüli",G213="n.a."),2.2,IF(OR(E213=2,E213=3,E213=4),VLOOKUP(G213,Szakmaszorzók!$B$2:$D$25,2,0),VLOOKUP(G213,Szakmaszorzók!$B$2:$D$25,3,0)))</f>
        <v>2.85</v>
      </c>
      <c r="K213" s="320">
        <f>'Támogatás szorzat tényezői'!$C$2*'Támogatás szorzat tényezői'!$C$5*J213*(H213/1000)</f>
        <v>357048</v>
      </c>
      <c r="L213" s="300"/>
      <c r="M213" s="319">
        <f t="shared" si="3"/>
        <v>8</v>
      </c>
    </row>
    <row r="214" spans="1:13" ht="15.75" hidden="1" customHeight="1" x14ac:dyDescent="0.25">
      <c r="A214" s="319">
        <v>411</v>
      </c>
      <c r="B214" s="298" t="s">
        <v>3132</v>
      </c>
      <c r="C214" s="313" t="s">
        <v>3133</v>
      </c>
      <c r="D214" s="317" t="s">
        <v>3743</v>
      </c>
      <c r="E214" s="317" t="s">
        <v>3455</v>
      </c>
      <c r="F214" s="317" t="s">
        <v>3490</v>
      </c>
      <c r="G214" s="299" t="s">
        <v>1321</v>
      </c>
      <c r="H214" s="299">
        <v>470</v>
      </c>
      <c r="I214" s="299">
        <v>540</v>
      </c>
      <c r="J214" s="298">
        <f>IF(OR(G214="ágazaton kívüli",G214="n.a."),2.2,IF(OR(E214=2,E214=3,E214=4),VLOOKUP(G214,Szakmaszorzók!$B$2:$D$25,2,0),VLOOKUP(G214,Szakmaszorzók!$B$2:$D$25,3,0)))</f>
        <v>2.85</v>
      </c>
      <c r="K214" s="320">
        <f>'Támogatás szorzat tényezői'!$C$2*'Támogatás szorzat tényezői'!$C$5*J214*(H214/1000)</f>
        <v>482220</v>
      </c>
      <c r="L214" s="300"/>
      <c r="M214" s="319">
        <f t="shared" si="3"/>
        <v>8</v>
      </c>
    </row>
    <row r="215" spans="1:13" ht="15.75" hidden="1" customHeight="1" x14ac:dyDescent="0.25">
      <c r="A215" s="319">
        <v>412</v>
      </c>
      <c r="B215" s="298" t="s">
        <v>3147</v>
      </c>
      <c r="C215" s="313" t="s">
        <v>3148</v>
      </c>
      <c r="D215" s="317" t="s">
        <v>3743</v>
      </c>
      <c r="E215" s="317" t="s">
        <v>3455</v>
      </c>
      <c r="F215" s="317" t="s">
        <v>3467</v>
      </c>
      <c r="G215" s="299" t="s">
        <v>1321</v>
      </c>
      <c r="H215" s="299">
        <v>730</v>
      </c>
      <c r="I215" s="299">
        <v>810</v>
      </c>
      <c r="J215" s="298">
        <f>IF(OR(G215="ágazaton kívüli",G215="n.a."),2.2,IF(OR(E215=2,E215=3,E215=4),VLOOKUP(G215,Szakmaszorzók!$B$2:$D$25,2,0),VLOOKUP(G215,Szakmaszorzók!$B$2:$D$25,3,0)))</f>
        <v>2.85</v>
      </c>
      <c r="K215" s="320">
        <f>'Támogatás szorzat tényezői'!$C$2*'Támogatás szorzat tényezői'!$C$5*J215*(H215/1000)</f>
        <v>748980</v>
      </c>
      <c r="L215" s="300"/>
      <c r="M215" s="319">
        <f t="shared" si="3"/>
        <v>8</v>
      </c>
    </row>
    <row r="216" spans="1:13" ht="15.75" hidden="1" customHeight="1" x14ac:dyDescent="0.25">
      <c r="A216" s="319">
        <v>413</v>
      </c>
      <c r="B216" s="298" t="s">
        <v>3753</v>
      </c>
      <c r="C216" s="313" t="s">
        <v>3149</v>
      </c>
      <c r="D216" s="317" t="s">
        <v>3743</v>
      </c>
      <c r="E216" s="317" t="s">
        <v>3455</v>
      </c>
      <c r="F216" s="317" t="s">
        <v>3466</v>
      </c>
      <c r="G216" s="299" t="s">
        <v>1321</v>
      </c>
      <c r="H216" s="299">
        <v>560</v>
      </c>
      <c r="I216" s="299">
        <v>660</v>
      </c>
      <c r="J216" s="298">
        <f>IF(OR(G216="ágazaton kívüli",G216="n.a."),2.2,IF(OR(E216=2,E216=3,E216=4),VLOOKUP(G216,Szakmaszorzók!$B$2:$D$25,2,0),VLOOKUP(G216,Szakmaszorzók!$B$2:$D$25,3,0)))</f>
        <v>2.85</v>
      </c>
      <c r="K216" s="320">
        <f>'Támogatás szorzat tényezői'!$C$2*'Támogatás szorzat tényezői'!$C$5*J216*(H216/1000)</f>
        <v>574560</v>
      </c>
      <c r="L216" s="300"/>
      <c r="M216" s="319">
        <f t="shared" si="3"/>
        <v>8</v>
      </c>
    </row>
    <row r="217" spans="1:13" ht="15.75" hidden="1" customHeight="1" x14ac:dyDescent="0.25">
      <c r="A217" s="319">
        <v>30</v>
      </c>
      <c r="B217" s="298" t="s">
        <v>3493</v>
      </c>
      <c r="C217" s="313" t="s">
        <v>1502</v>
      </c>
      <c r="D217" s="317" t="s">
        <v>1311</v>
      </c>
      <c r="E217" s="317" t="s">
        <v>3459</v>
      </c>
      <c r="F217" s="317" t="s">
        <v>3461</v>
      </c>
      <c r="G217" s="299" t="s">
        <v>1290</v>
      </c>
      <c r="H217" s="299">
        <v>32</v>
      </c>
      <c r="I217" s="299">
        <v>60</v>
      </c>
      <c r="J217" s="298">
        <f>IF(OR(G217="ágazaton kívüli",G217="n.a."),2.2,IF(OR(E217=2,E217=3,E217=4),VLOOKUP(G217,Szakmaszorzók!$B$2:$D$25,2,0),VLOOKUP(G217,Szakmaszorzók!$B$2:$D$25,3,0)))</f>
        <v>2.85</v>
      </c>
      <c r="K217" s="320">
        <f>'Támogatás szorzat tényezői'!$C$2*'Támogatás szorzat tényezői'!$C$5*J217*(H217/1000)</f>
        <v>32832</v>
      </c>
      <c r="L217" s="300"/>
      <c r="M217" s="319">
        <f t="shared" si="3"/>
        <v>8</v>
      </c>
    </row>
    <row r="218" spans="1:13" ht="15.75" hidden="1" customHeight="1" x14ac:dyDescent="0.25">
      <c r="A218" s="319">
        <v>31</v>
      </c>
      <c r="B218" s="298" t="s">
        <v>2866</v>
      </c>
      <c r="C218" s="313" t="s">
        <v>2867</v>
      </c>
      <c r="D218" s="317" t="s">
        <v>1291</v>
      </c>
      <c r="E218" s="317" t="s">
        <v>3459</v>
      </c>
      <c r="F218" s="317" t="s">
        <v>3484</v>
      </c>
      <c r="G218" s="299" t="s">
        <v>1290</v>
      </c>
      <c r="H218" s="299">
        <v>32</v>
      </c>
      <c r="I218" s="299">
        <v>60</v>
      </c>
      <c r="J218" s="298">
        <f>IF(OR(G218="ágazaton kívüli",G218="n.a."),2.2,IF(OR(E218=2,E218=3,E218=4),VLOOKUP(G218,Szakmaszorzók!$B$2:$D$25,2,0),VLOOKUP(G218,Szakmaszorzók!$B$2:$D$25,3,0)))</f>
        <v>2.85</v>
      </c>
      <c r="K218" s="320">
        <f>'Támogatás szorzat tényezői'!$C$2*'Támogatás szorzat tényezői'!$C$5*J218*(H218/1000)</f>
        <v>32832</v>
      </c>
      <c r="L218" s="300"/>
      <c r="M218" s="319">
        <f t="shared" si="3"/>
        <v>8</v>
      </c>
    </row>
    <row r="219" spans="1:13" ht="15.75" hidden="1" customHeight="1" x14ac:dyDescent="0.25">
      <c r="A219" s="319">
        <v>32</v>
      </c>
      <c r="B219" s="298" t="s">
        <v>2863</v>
      </c>
      <c r="C219" s="313" t="s">
        <v>1667</v>
      </c>
      <c r="D219" s="317" t="s">
        <v>1311</v>
      </c>
      <c r="E219" s="317" t="s">
        <v>3459</v>
      </c>
      <c r="F219" s="317" t="s">
        <v>3494</v>
      </c>
      <c r="G219" s="299" t="s">
        <v>1290</v>
      </c>
      <c r="H219" s="299">
        <v>24</v>
      </c>
      <c r="I219" s="299">
        <v>32</v>
      </c>
      <c r="J219" s="298">
        <f>IF(OR(G219="ágazaton kívüli",G219="n.a."),2.2,IF(OR(E219=2,E219=3,E219=4),VLOOKUP(G219,Szakmaszorzók!$B$2:$D$25,2,0),VLOOKUP(G219,Szakmaszorzók!$B$2:$D$25,3,0)))</f>
        <v>2.85</v>
      </c>
      <c r="K219" s="320">
        <f>'Támogatás szorzat tényezői'!$C$2*'Támogatás szorzat tényezői'!$C$5*J219*(H219/1000)</f>
        <v>24624</v>
      </c>
      <c r="L219" s="300"/>
      <c r="M219" s="319">
        <f t="shared" si="3"/>
        <v>8</v>
      </c>
    </row>
    <row r="220" spans="1:13" ht="15.75" hidden="1" customHeight="1" x14ac:dyDescent="0.25">
      <c r="A220" s="319">
        <v>33</v>
      </c>
      <c r="B220" s="298" t="s">
        <v>3495</v>
      </c>
      <c r="C220" s="313" t="s">
        <v>1666</v>
      </c>
      <c r="D220" s="317" t="s">
        <v>1311</v>
      </c>
      <c r="E220" s="317" t="s">
        <v>3459</v>
      </c>
      <c r="F220" s="317" t="s">
        <v>3496</v>
      </c>
      <c r="G220" s="299" t="s">
        <v>1290</v>
      </c>
      <c r="H220" s="299">
        <v>40</v>
      </c>
      <c r="I220" s="299">
        <v>60</v>
      </c>
      <c r="J220" s="298">
        <f>IF(OR(G220="ágazaton kívüli",G220="n.a."),2.2,IF(OR(E220=2,E220=3,E220=4),VLOOKUP(G220,Szakmaszorzók!$B$2:$D$25,2,0),VLOOKUP(G220,Szakmaszorzók!$B$2:$D$25,3,0)))</f>
        <v>2.85</v>
      </c>
      <c r="K220" s="320">
        <f>'Támogatás szorzat tényezői'!$C$2*'Támogatás szorzat tényezői'!$C$5*J220*(H220/1000)</f>
        <v>41040</v>
      </c>
      <c r="L220" s="300"/>
      <c r="M220" s="319">
        <f t="shared" si="3"/>
        <v>8</v>
      </c>
    </row>
    <row r="221" spans="1:13" ht="15.75" hidden="1" customHeight="1" x14ac:dyDescent="0.25">
      <c r="A221" s="319">
        <v>34</v>
      </c>
      <c r="B221" s="298" t="s">
        <v>3497</v>
      </c>
      <c r="C221" s="313" t="s">
        <v>1665</v>
      </c>
      <c r="D221" s="317" t="s">
        <v>1311</v>
      </c>
      <c r="E221" s="317" t="s">
        <v>3459</v>
      </c>
      <c r="F221" s="317" t="s">
        <v>3498</v>
      </c>
      <c r="G221" s="299" t="s">
        <v>1290</v>
      </c>
      <c r="H221" s="299">
        <v>24</v>
      </c>
      <c r="I221" s="299">
        <v>32</v>
      </c>
      <c r="J221" s="298">
        <f>IF(OR(G221="ágazaton kívüli",G221="n.a."),2.2,IF(OR(E221=2,E221=3,E221=4),VLOOKUP(G221,Szakmaszorzók!$B$2:$D$25,2,0),VLOOKUP(G221,Szakmaszorzók!$B$2:$D$25,3,0)))</f>
        <v>2.85</v>
      </c>
      <c r="K221" s="320">
        <f>'Támogatás szorzat tényezői'!$C$2*'Támogatás szorzat tényezői'!$C$5*J221*(H221/1000)</f>
        <v>24624</v>
      </c>
      <c r="L221" s="300"/>
      <c r="M221" s="319">
        <f t="shared" si="3"/>
        <v>8</v>
      </c>
    </row>
    <row r="222" spans="1:13" ht="15.75" hidden="1" customHeight="1" x14ac:dyDescent="0.25">
      <c r="A222" s="319">
        <v>220</v>
      </c>
      <c r="B222" s="298" t="s">
        <v>3610</v>
      </c>
      <c r="C222" s="313" t="s">
        <v>1504</v>
      </c>
      <c r="D222" s="317" t="s">
        <v>3564</v>
      </c>
      <c r="E222" s="317" t="s">
        <v>3455</v>
      </c>
      <c r="F222" s="317" t="s">
        <v>3571</v>
      </c>
      <c r="G222" s="308" t="s">
        <v>1883</v>
      </c>
      <c r="H222" s="308" t="s">
        <v>1883</v>
      </c>
      <c r="I222" s="308" t="s">
        <v>1883</v>
      </c>
      <c r="J222" s="298">
        <f>IF(OR(G222="ágazaton kívüli",G222="n.a."),2.2,IF(OR(E222=2,E222=3,E222=4),VLOOKUP(G222,Szakmaszorzók!$B$2:$D$25,2,0),VLOOKUP(G222,Szakmaszorzók!$B$2:$D$25,3,0)))</f>
        <v>2.2000000000000002</v>
      </c>
      <c r="K222" s="320" t="e">
        <f>'Támogatás szorzat tényezői'!$C$2*'Támogatás szorzat tényezői'!$C$5*J222*(H222/1000)</f>
        <v>#VALUE!</v>
      </c>
      <c r="L222" s="300"/>
      <c r="M222" s="319">
        <f t="shared" si="3"/>
        <v>8</v>
      </c>
    </row>
    <row r="223" spans="1:13" ht="15.75" hidden="1" customHeight="1" x14ac:dyDescent="0.25">
      <c r="A223" s="319">
        <v>221</v>
      </c>
      <c r="B223" s="298" t="s">
        <v>3023</v>
      </c>
      <c r="C223" s="313" t="s">
        <v>1505</v>
      </c>
      <c r="D223" s="317" t="s">
        <v>3564</v>
      </c>
      <c r="E223" s="317" t="s">
        <v>3455</v>
      </c>
      <c r="F223" s="317" t="s">
        <v>3572</v>
      </c>
      <c r="G223" s="308" t="s">
        <v>1883</v>
      </c>
      <c r="H223" s="308" t="s">
        <v>1883</v>
      </c>
      <c r="I223" s="308" t="s">
        <v>1883</v>
      </c>
      <c r="J223" s="298">
        <f>IF(OR(G223="ágazaton kívüli",G223="n.a."),2.2,IF(OR(E223=2,E223=3,E223=4),VLOOKUP(G223,Szakmaszorzók!$B$2:$D$25,2,0),VLOOKUP(G223,Szakmaszorzók!$B$2:$D$25,3,0)))</f>
        <v>2.2000000000000002</v>
      </c>
      <c r="K223" s="320" t="e">
        <f>'Támogatás szorzat tényezői'!$C$2*'Támogatás szorzat tényezői'!$C$5*J223*(H223/1000)</f>
        <v>#VALUE!</v>
      </c>
      <c r="L223" s="300"/>
      <c r="M223" s="319">
        <f t="shared" si="3"/>
        <v>8</v>
      </c>
    </row>
    <row r="224" spans="1:13" ht="15.75" hidden="1" customHeight="1" x14ac:dyDescent="0.25">
      <c r="A224" s="319">
        <v>222</v>
      </c>
      <c r="B224" s="298" t="s">
        <v>3024</v>
      </c>
      <c r="C224" s="313" t="s">
        <v>1506</v>
      </c>
      <c r="D224" s="317" t="s">
        <v>3564</v>
      </c>
      <c r="E224" s="317" t="s">
        <v>3455</v>
      </c>
      <c r="F224" s="317" t="s">
        <v>3611</v>
      </c>
      <c r="G224" s="308" t="s">
        <v>1883</v>
      </c>
      <c r="H224" s="308" t="s">
        <v>1883</v>
      </c>
      <c r="I224" s="308" t="s">
        <v>1883</v>
      </c>
      <c r="J224" s="298">
        <f>IF(OR(G224="ágazaton kívüli",G224="n.a."),2.2,IF(OR(E224=2,E224=3,E224=4),VLOOKUP(G224,Szakmaszorzók!$B$2:$D$25,2,0),VLOOKUP(G224,Szakmaszorzók!$B$2:$D$25,3,0)))</f>
        <v>2.2000000000000002</v>
      </c>
      <c r="K224" s="320" t="e">
        <f>'Támogatás szorzat tényezői'!$C$2*'Támogatás szorzat tényezői'!$C$5*J224*(H224/1000)</f>
        <v>#VALUE!</v>
      </c>
      <c r="L224" s="300"/>
      <c r="M224" s="319">
        <f t="shared" si="3"/>
        <v>8</v>
      </c>
    </row>
    <row r="225" spans="1:13" ht="15.75" hidden="1" customHeight="1" x14ac:dyDescent="0.25">
      <c r="A225" s="319">
        <v>223</v>
      </c>
      <c r="B225" s="298" t="s">
        <v>3612</v>
      </c>
      <c r="C225" s="313" t="s">
        <v>1507</v>
      </c>
      <c r="D225" s="317" t="s">
        <v>3564</v>
      </c>
      <c r="E225" s="317" t="s">
        <v>3455</v>
      </c>
      <c r="F225" s="317" t="s">
        <v>3613</v>
      </c>
      <c r="G225" s="308" t="s">
        <v>1883</v>
      </c>
      <c r="H225" s="308" t="s">
        <v>1883</v>
      </c>
      <c r="I225" s="308" t="s">
        <v>1883</v>
      </c>
      <c r="J225" s="298">
        <f>IF(OR(G225="ágazaton kívüli",G225="n.a."),2.2,IF(OR(E225=2,E225=3,E225=4),VLOOKUP(G225,Szakmaszorzók!$B$2:$D$25,2,0),VLOOKUP(G225,Szakmaszorzók!$B$2:$D$25,3,0)))</f>
        <v>2.2000000000000002</v>
      </c>
      <c r="K225" s="320" t="e">
        <f>'Támogatás szorzat tényezői'!$C$2*'Támogatás szorzat tényezői'!$C$5*J225*(H225/1000)</f>
        <v>#VALUE!</v>
      </c>
      <c r="L225" s="300"/>
      <c r="M225" s="319">
        <f t="shared" si="3"/>
        <v>8</v>
      </c>
    </row>
    <row r="226" spans="1:13" ht="15.75" hidden="1" customHeight="1" x14ac:dyDescent="0.25">
      <c r="A226" s="319">
        <v>224</v>
      </c>
      <c r="B226" s="298" t="s">
        <v>3614</v>
      </c>
      <c r="C226" s="313" t="s">
        <v>1508</v>
      </c>
      <c r="D226" s="317" t="s">
        <v>3564</v>
      </c>
      <c r="E226" s="317" t="s">
        <v>3455</v>
      </c>
      <c r="F226" s="317" t="s">
        <v>3615</v>
      </c>
      <c r="G226" s="308" t="s">
        <v>1883</v>
      </c>
      <c r="H226" s="308" t="s">
        <v>1883</v>
      </c>
      <c r="I226" s="308" t="s">
        <v>1883</v>
      </c>
      <c r="J226" s="298">
        <f>IF(OR(G226="ágazaton kívüli",G226="n.a."),2.2,IF(OR(E226=2,E226=3,E226=4),VLOOKUP(G226,Szakmaszorzók!$B$2:$D$25,2,0),VLOOKUP(G226,Szakmaszorzók!$B$2:$D$25,3,0)))</f>
        <v>2.2000000000000002</v>
      </c>
      <c r="K226" s="320" t="e">
        <f>'Támogatás szorzat tényezői'!$C$2*'Támogatás szorzat tényezői'!$C$5*J226*(H226/1000)</f>
        <v>#VALUE!</v>
      </c>
      <c r="L226" s="300"/>
      <c r="M226" s="319">
        <f t="shared" si="3"/>
        <v>8</v>
      </c>
    </row>
    <row r="227" spans="1:13" ht="15.75" hidden="1" customHeight="1" x14ac:dyDescent="0.25">
      <c r="A227" s="319">
        <v>225</v>
      </c>
      <c r="B227" s="298" t="s">
        <v>3616</v>
      </c>
      <c r="C227" s="313" t="s">
        <v>1509</v>
      </c>
      <c r="D227" s="317" t="s">
        <v>3564</v>
      </c>
      <c r="E227" s="317" t="s">
        <v>3455</v>
      </c>
      <c r="F227" s="317" t="s">
        <v>3617</v>
      </c>
      <c r="G227" s="308" t="s">
        <v>1883</v>
      </c>
      <c r="H227" s="308" t="s">
        <v>1883</v>
      </c>
      <c r="I227" s="308" t="s">
        <v>1883</v>
      </c>
      <c r="J227" s="298">
        <f>IF(OR(G227="ágazaton kívüli",G227="n.a."),2.2,IF(OR(E227=2,E227=3,E227=4),VLOOKUP(G227,Szakmaszorzók!$B$2:$D$25,2,0),VLOOKUP(G227,Szakmaszorzók!$B$2:$D$25,3,0)))</f>
        <v>2.2000000000000002</v>
      </c>
      <c r="K227" s="320" t="e">
        <f>'Támogatás szorzat tényezői'!$C$2*'Támogatás szorzat tényezői'!$C$5*J227*(H227/1000)</f>
        <v>#VALUE!</v>
      </c>
      <c r="L227" s="300"/>
      <c r="M227" s="319">
        <f t="shared" si="3"/>
        <v>8</v>
      </c>
    </row>
    <row r="228" spans="1:13" ht="15.75" hidden="1" customHeight="1" x14ac:dyDescent="0.25">
      <c r="A228" s="319">
        <v>226</v>
      </c>
      <c r="B228" s="298" t="s">
        <v>3025</v>
      </c>
      <c r="C228" s="313" t="s">
        <v>1510</v>
      </c>
      <c r="D228" s="317" t="s">
        <v>3564</v>
      </c>
      <c r="E228" s="317" t="s">
        <v>3455</v>
      </c>
      <c r="F228" s="317" t="s">
        <v>3618</v>
      </c>
      <c r="G228" s="308" t="s">
        <v>1883</v>
      </c>
      <c r="H228" s="308" t="s">
        <v>1883</v>
      </c>
      <c r="I228" s="308" t="s">
        <v>1883</v>
      </c>
      <c r="J228" s="298">
        <f>IF(OR(G228="ágazaton kívüli",G228="n.a."),2.2,IF(OR(E228=2,E228=3,E228=4),VLOOKUP(G228,Szakmaszorzók!$B$2:$D$25,2,0),VLOOKUP(G228,Szakmaszorzók!$B$2:$D$25,3,0)))</f>
        <v>2.2000000000000002</v>
      </c>
      <c r="K228" s="320" t="e">
        <f>'Támogatás szorzat tényezői'!$C$2*'Támogatás szorzat tényezői'!$C$5*J228*(H228/1000)</f>
        <v>#VALUE!</v>
      </c>
      <c r="L228" s="300"/>
      <c r="M228" s="319">
        <f t="shared" si="3"/>
        <v>8</v>
      </c>
    </row>
    <row r="229" spans="1:13" ht="15.75" hidden="1" customHeight="1" x14ac:dyDescent="0.25">
      <c r="A229" s="319">
        <v>227</v>
      </c>
      <c r="B229" s="298" t="s">
        <v>3026</v>
      </c>
      <c r="C229" s="313" t="s">
        <v>1511</v>
      </c>
      <c r="D229" s="317" t="s">
        <v>3564</v>
      </c>
      <c r="E229" s="317" t="s">
        <v>3455</v>
      </c>
      <c r="F229" s="317" t="s">
        <v>3619</v>
      </c>
      <c r="G229" s="308" t="s">
        <v>1883</v>
      </c>
      <c r="H229" s="308" t="s">
        <v>1883</v>
      </c>
      <c r="I229" s="308" t="s">
        <v>1883</v>
      </c>
      <c r="J229" s="298">
        <f>IF(OR(G229="ágazaton kívüli",G229="n.a."),2.2,IF(OR(E229=2,E229=3,E229=4),VLOOKUP(G229,Szakmaszorzók!$B$2:$D$25,2,0),VLOOKUP(G229,Szakmaszorzók!$B$2:$D$25,3,0)))</f>
        <v>2.2000000000000002</v>
      </c>
      <c r="K229" s="320" t="e">
        <f>'Támogatás szorzat tényezői'!$C$2*'Támogatás szorzat tényezői'!$C$5*J229*(H229/1000)</f>
        <v>#VALUE!</v>
      </c>
      <c r="L229" s="300"/>
      <c r="M229" s="319">
        <f t="shared" si="3"/>
        <v>8</v>
      </c>
    </row>
    <row r="230" spans="1:13" ht="15.75" hidden="1" customHeight="1" x14ac:dyDescent="0.25">
      <c r="A230" s="319">
        <v>228</v>
      </c>
      <c r="B230" s="298" t="s">
        <v>3620</v>
      </c>
      <c r="C230" s="313" t="s">
        <v>1512</v>
      </c>
      <c r="D230" s="317" t="s">
        <v>3564</v>
      </c>
      <c r="E230" s="317" t="s">
        <v>3455</v>
      </c>
      <c r="F230" s="317" t="s">
        <v>3621</v>
      </c>
      <c r="G230" s="308" t="s">
        <v>1883</v>
      </c>
      <c r="H230" s="308" t="s">
        <v>1883</v>
      </c>
      <c r="I230" s="308" t="s">
        <v>1883</v>
      </c>
      <c r="J230" s="298">
        <f>IF(OR(G230="ágazaton kívüli",G230="n.a."),2.2,IF(OR(E230=2,E230=3,E230=4),VLOOKUP(G230,Szakmaszorzók!$B$2:$D$25,2,0),VLOOKUP(G230,Szakmaszorzók!$B$2:$D$25,3,0)))</f>
        <v>2.2000000000000002</v>
      </c>
      <c r="K230" s="320" t="e">
        <f>'Támogatás szorzat tényezői'!$C$2*'Támogatás szorzat tényezői'!$C$5*J230*(H230/1000)</f>
        <v>#VALUE!</v>
      </c>
      <c r="L230" s="300"/>
      <c r="M230" s="319">
        <f t="shared" si="3"/>
        <v>8</v>
      </c>
    </row>
    <row r="231" spans="1:13" ht="15.75" hidden="1" customHeight="1" x14ac:dyDescent="0.25">
      <c r="A231" s="319">
        <v>229</v>
      </c>
      <c r="B231" s="298" t="s">
        <v>3622</v>
      </c>
      <c r="C231" s="313" t="s">
        <v>1513</v>
      </c>
      <c r="D231" s="317" t="s">
        <v>3564</v>
      </c>
      <c r="E231" s="317" t="s">
        <v>3459</v>
      </c>
      <c r="F231" s="317" t="s">
        <v>3579</v>
      </c>
      <c r="G231" s="308" t="s">
        <v>1883</v>
      </c>
      <c r="H231" s="299">
        <v>1700</v>
      </c>
      <c r="I231" s="299">
        <v>2200</v>
      </c>
      <c r="J231" s="298">
        <f>IF(OR(G231="ágazaton kívüli",G231="n.a."),2.2,IF(OR(E231=2,E231=3,E231=4),VLOOKUP(G231,Szakmaszorzók!$B$2:$D$25,2,0),VLOOKUP(G231,Szakmaszorzók!$B$2:$D$25,3,0)))</f>
        <v>2.2000000000000002</v>
      </c>
      <c r="K231" s="320">
        <f>'Támogatás szorzat tényezői'!$C$2*'Támogatás szorzat tényezői'!$C$5*J231*(H231/1000)</f>
        <v>1346400.0000000002</v>
      </c>
      <c r="L231" s="300"/>
      <c r="M231" s="319">
        <f t="shared" si="3"/>
        <v>8</v>
      </c>
    </row>
    <row r="232" spans="1:13" ht="15.75" hidden="1" customHeight="1" x14ac:dyDescent="0.25">
      <c r="A232" s="319">
        <v>230</v>
      </c>
      <c r="B232" s="298" t="s">
        <v>3623</v>
      </c>
      <c r="C232" s="313" t="s">
        <v>1514</v>
      </c>
      <c r="D232" s="317" t="s">
        <v>3564</v>
      </c>
      <c r="E232" s="317" t="s">
        <v>3459</v>
      </c>
      <c r="F232" s="317" t="s">
        <v>3582</v>
      </c>
      <c r="G232" s="308" t="s">
        <v>1883</v>
      </c>
      <c r="H232" s="299">
        <v>1700</v>
      </c>
      <c r="I232" s="299">
        <v>2200</v>
      </c>
      <c r="J232" s="298">
        <f>IF(OR(G232="ágazaton kívüli",G232="n.a."),2.2,IF(OR(E232=2,E232=3,E232=4),VLOOKUP(G232,Szakmaszorzók!$B$2:$D$25,2,0),VLOOKUP(G232,Szakmaszorzók!$B$2:$D$25,3,0)))</f>
        <v>2.2000000000000002</v>
      </c>
      <c r="K232" s="320">
        <f>'Támogatás szorzat tényezői'!$C$2*'Támogatás szorzat tényezői'!$C$5*J232*(H232/1000)</f>
        <v>1346400.0000000002</v>
      </c>
      <c r="L232" s="300"/>
      <c r="M232" s="319">
        <f t="shared" si="3"/>
        <v>8</v>
      </c>
    </row>
    <row r="233" spans="1:13" ht="15.75" hidden="1" customHeight="1" x14ac:dyDescent="0.25">
      <c r="A233" s="319">
        <v>231</v>
      </c>
      <c r="B233" s="298" t="s">
        <v>3008</v>
      </c>
      <c r="C233" s="313" t="s">
        <v>1515</v>
      </c>
      <c r="D233" s="317" t="s">
        <v>3564</v>
      </c>
      <c r="E233" s="317" t="s">
        <v>3459</v>
      </c>
      <c r="F233" s="317" t="s">
        <v>3583</v>
      </c>
      <c r="G233" s="308" t="s">
        <v>1883</v>
      </c>
      <c r="H233" s="299">
        <v>1700</v>
      </c>
      <c r="I233" s="299">
        <v>2200</v>
      </c>
      <c r="J233" s="298">
        <f>IF(OR(G233="ágazaton kívüli",G233="n.a."),2.2,IF(OR(E233=2,E233=3,E233=4),VLOOKUP(G233,Szakmaszorzók!$B$2:$D$25,2,0),VLOOKUP(G233,Szakmaszorzók!$B$2:$D$25,3,0)))</f>
        <v>2.2000000000000002</v>
      </c>
      <c r="K233" s="320">
        <f>'Támogatás szorzat tényezői'!$C$2*'Támogatás szorzat tényezői'!$C$5*J233*(H233/1000)</f>
        <v>1346400.0000000002</v>
      </c>
      <c r="L233" s="300"/>
      <c r="M233" s="319">
        <f t="shared" si="3"/>
        <v>8</v>
      </c>
    </row>
    <row r="234" spans="1:13" ht="15.75" hidden="1" customHeight="1" x14ac:dyDescent="0.25">
      <c r="A234" s="319">
        <v>232</v>
      </c>
      <c r="B234" s="298" t="s">
        <v>3624</v>
      </c>
      <c r="C234" s="313" t="s">
        <v>1516</v>
      </c>
      <c r="D234" s="317" t="s">
        <v>3564</v>
      </c>
      <c r="E234" s="317" t="s">
        <v>3459</v>
      </c>
      <c r="F234" s="317" t="s">
        <v>3581</v>
      </c>
      <c r="G234" s="308" t="s">
        <v>1883</v>
      </c>
      <c r="H234" s="299">
        <v>1700</v>
      </c>
      <c r="I234" s="299">
        <v>2200</v>
      </c>
      <c r="J234" s="298">
        <f>IF(OR(G234="ágazaton kívüli",G234="n.a."),2.2,IF(OR(E234=2,E234=3,E234=4),VLOOKUP(G234,Szakmaszorzók!$B$2:$D$25,2,0),VLOOKUP(G234,Szakmaszorzók!$B$2:$D$25,3,0)))</f>
        <v>2.2000000000000002</v>
      </c>
      <c r="K234" s="320">
        <f>'Támogatás szorzat tényezői'!$C$2*'Támogatás szorzat tényezői'!$C$5*J234*(H234/1000)</f>
        <v>1346400.0000000002</v>
      </c>
      <c r="L234" s="300"/>
      <c r="M234" s="319">
        <f t="shared" si="3"/>
        <v>8</v>
      </c>
    </row>
    <row r="235" spans="1:13" ht="15.75" hidden="1" customHeight="1" x14ac:dyDescent="0.25">
      <c r="A235" s="319">
        <v>233</v>
      </c>
      <c r="B235" s="298" t="s">
        <v>3625</v>
      </c>
      <c r="C235" s="313" t="s">
        <v>1517</v>
      </c>
      <c r="D235" s="317" t="s">
        <v>3564</v>
      </c>
      <c r="E235" s="317" t="s">
        <v>3459</v>
      </c>
      <c r="F235" s="317" t="s">
        <v>3626</v>
      </c>
      <c r="G235" s="308" t="s">
        <v>1883</v>
      </c>
      <c r="H235" s="299">
        <v>1700</v>
      </c>
      <c r="I235" s="299">
        <v>2200</v>
      </c>
      <c r="J235" s="298">
        <f>IF(OR(G235="ágazaton kívüli",G235="n.a."),2.2,IF(OR(E235=2,E235=3,E235=4),VLOOKUP(G235,Szakmaszorzók!$B$2:$D$25,2,0),VLOOKUP(G235,Szakmaszorzók!$B$2:$D$25,3,0)))</f>
        <v>2.2000000000000002</v>
      </c>
      <c r="K235" s="320">
        <f>'Támogatás szorzat tényezői'!$C$2*'Támogatás szorzat tényezői'!$C$5*J235*(H235/1000)</f>
        <v>1346400.0000000002</v>
      </c>
      <c r="L235" s="300"/>
      <c r="M235" s="319">
        <f t="shared" si="3"/>
        <v>8</v>
      </c>
    </row>
    <row r="236" spans="1:13" ht="15.75" hidden="1" customHeight="1" x14ac:dyDescent="0.25">
      <c r="A236" s="319">
        <v>234</v>
      </c>
      <c r="B236" s="298" t="s">
        <v>3009</v>
      </c>
      <c r="C236" s="313" t="s">
        <v>1518</v>
      </c>
      <c r="D236" s="317" t="s">
        <v>3564</v>
      </c>
      <c r="E236" s="317" t="s">
        <v>3459</v>
      </c>
      <c r="F236" s="317" t="s">
        <v>3580</v>
      </c>
      <c r="G236" s="308" t="s">
        <v>1883</v>
      </c>
      <c r="H236" s="299">
        <v>1700</v>
      </c>
      <c r="I236" s="299">
        <v>2200</v>
      </c>
      <c r="J236" s="298">
        <f>IF(OR(G236="ágazaton kívüli",G236="n.a."),2.2,IF(OR(E236=2,E236=3,E236=4),VLOOKUP(G236,Szakmaszorzók!$B$2:$D$25,2,0),VLOOKUP(G236,Szakmaszorzók!$B$2:$D$25,3,0)))</f>
        <v>2.2000000000000002</v>
      </c>
      <c r="K236" s="320">
        <f>'Támogatás szorzat tényezői'!$C$2*'Támogatás szorzat tényezői'!$C$5*J236*(H236/1000)</f>
        <v>1346400.0000000002</v>
      </c>
      <c r="L236" s="300"/>
      <c r="M236" s="319">
        <f t="shared" si="3"/>
        <v>8</v>
      </c>
    </row>
    <row r="237" spans="1:13" ht="15.75" hidden="1" customHeight="1" x14ac:dyDescent="0.25">
      <c r="A237" s="319">
        <v>235</v>
      </c>
      <c r="B237" s="298" t="s">
        <v>3010</v>
      </c>
      <c r="C237" s="313" t="s">
        <v>1519</v>
      </c>
      <c r="D237" s="317" t="s">
        <v>3564</v>
      </c>
      <c r="E237" s="317" t="s">
        <v>3459</v>
      </c>
      <c r="F237" s="317" t="s">
        <v>3584</v>
      </c>
      <c r="G237" s="308" t="s">
        <v>1883</v>
      </c>
      <c r="H237" s="299">
        <v>1700</v>
      </c>
      <c r="I237" s="299">
        <v>2200</v>
      </c>
      <c r="J237" s="298">
        <f>IF(OR(G237="ágazaton kívüli",G237="n.a."),2.2,IF(OR(E237=2,E237=3,E237=4),VLOOKUP(G237,Szakmaszorzók!$B$2:$D$25,2,0),VLOOKUP(G237,Szakmaszorzók!$B$2:$D$25,3,0)))</f>
        <v>2.2000000000000002</v>
      </c>
      <c r="K237" s="320">
        <f>'Támogatás szorzat tényezői'!$C$2*'Támogatás szorzat tényezői'!$C$5*J237*(H237/1000)</f>
        <v>1346400.0000000002</v>
      </c>
      <c r="L237" s="300"/>
      <c r="M237" s="319">
        <f t="shared" si="3"/>
        <v>8</v>
      </c>
    </row>
    <row r="238" spans="1:13" ht="15.75" hidden="1" customHeight="1" x14ac:dyDescent="0.25">
      <c r="A238" s="319">
        <v>236</v>
      </c>
      <c r="B238" s="298" t="s">
        <v>3011</v>
      </c>
      <c r="C238" s="313" t="s">
        <v>1520</v>
      </c>
      <c r="D238" s="317" t="s">
        <v>3564</v>
      </c>
      <c r="E238" s="317" t="s">
        <v>3459</v>
      </c>
      <c r="F238" s="317" t="s">
        <v>3627</v>
      </c>
      <c r="G238" s="308" t="s">
        <v>1883</v>
      </c>
      <c r="H238" s="299">
        <v>1700</v>
      </c>
      <c r="I238" s="299">
        <v>2200</v>
      </c>
      <c r="J238" s="298">
        <f>IF(OR(G238="ágazaton kívüli",G238="n.a."),2.2,IF(OR(E238=2,E238=3,E238=4),VLOOKUP(G238,Szakmaszorzók!$B$2:$D$25,2,0),VLOOKUP(G238,Szakmaszorzók!$B$2:$D$25,3,0)))</f>
        <v>2.2000000000000002</v>
      </c>
      <c r="K238" s="320">
        <f>'Támogatás szorzat tényezői'!$C$2*'Támogatás szorzat tényezői'!$C$5*J238*(H238/1000)</f>
        <v>1346400.0000000002</v>
      </c>
      <c r="L238" s="300"/>
      <c r="M238" s="319">
        <f t="shared" si="3"/>
        <v>8</v>
      </c>
    </row>
    <row r="239" spans="1:13" ht="15.75" hidden="1" customHeight="1" x14ac:dyDescent="0.25">
      <c r="A239" s="319">
        <v>237</v>
      </c>
      <c r="B239" s="298" t="s">
        <v>3628</v>
      </c>
      <c r="C239" s="313" t="s">
        <v>1521</v>
      </c>
      <c r="D239" s="317" t="s">
        <v>3564</v>
      </c>
      <c r="E239" s="317" t="s">
        <v>3459</v>
      </c>
      <c r="F239" s="317" t="s">
        <v>3578</v>
      </c>
      <c r="G239" s="308" t="s">
        <v>1883</v>
      </c>
      <c r="H239" s="299">
        <v>1700</v>
      </c>
      <c r="I239" s="299">
        <v>2200</v>
      </c>
      <c r="J239" s="298">
        <f>IF(OR(G239="ágazaton kívüli",G239="n.a."),2.2,IF(OR(E239=2,E239=3,E239=4),VLOOKUP(G239,Szakmaszorzók!$B$2:$D$25,2,0),VLOOKUP(G239,Szakmaszorzók!$B$2:$D$25,3,0)))</f>
        <v>2.2000000000000002</v>
      </c>
      <c r="K239" s="320">
        <f>'Támogatás szorzat tényezői'!$C$2*'Támogatás szorzat tényezői'!$C$5*J239*(H239/1000)</f>
        <v>1346400.0000000002</v>
      </c>
      <c r="L239" s="300"/>
      <c r="M239" s="319">
        <f t="shared" si="3"/>
        <v>8</v>
      </c>
    </row>
    <row r="240" spans="1:13" ht="15.75" hidden="1" customHeight="1" x14ac:dyDescent="0.25">
      <c r="A240" s="319">
        <v>142</v>
      </c>
      <c r="B240" s="298" t="s">
        <v>2945</v>
      </c>
      <c r="C240" s="313" t="s">
        <v>1700</v>
      </c>
      <c r="D240" s="317" t="s">
        <v>3554</v>
      </c>
      <c r="E240" s="317" t="s">
        <v>3527</v>
      </c>
      <c r="F240" s="317" t="s">
        <v>3481</v>
      </c>
      <c r="G240" s="299" t="s">
        <v>1316</v>
      </c>
      <c r="H240" s="299">
        <v>480</v>
      </c>
      <c r="I240" s="299">
        <v>600</v>
      </c>
      <c r="J240" s="298">
        <f>IF(OR(G240="ágazaton kívüli",G240="n.a."),2.2,IF(OR(E240=2,E240=3,E240=4),VLOOKUP(G240,Szakmaszorzók!$B$2:$D$25,2,0),VLOOKUP(G240,Szakmaszorzók!$B$2:$D$25,3,0)))</f>
        <v>2.85</v>
      </c>
      <c r="K240" s="320">
        <f>'Támogatás szorzat tényezői'!$C$2*'Támogatás szorzat tényezői'!$C$5*J240*(H240/1000)</f>
        <v>492480</v>
      </c>
      <c r="L240" s="300"/>
      <c r="M240" s="319">
        <f t="shared" si="3"/>
        <v>8</v>
      </c>
    </row>
    <row r="241" spans="1:13" ht="15.75" hidden="1" customHeight="1" x14ac:dyDescent="0.25">
      <c r="A241" s="319">
        <v>238</v>
      </c>
      <c r="B241" s="298" t="s">
        <v>2954</v>
      </c>
      <c r="C241" s="314" t="s">
        <v>2788</v>
      </c>
      <c r="D241" s="317" t="s">
        <v>1331</v>
      </c>
      <c r="E241" s="317" t="s">
        <v>3455</v>
      </c>
      <c r="F241" s="317" t="s">
        <v>3483</v>
      </c>
      <c r="G241" s="308" t="s">
        <v>1883</v>
      </c>
      <c r="H241" s="299">
        <v>950</v>
      </c>
      <c r="I241" s="299">
        <v>1100</v>
      </c>
      <c r="J241" s="298">
        <f>IF(OR(G241="ágazaton kívüli",G241="n.a."),2.2,IF(OR(E241=2,E241=3,E241=4),VLOOKUP(G241,Szakmaszorzók!$B$2:$D$25,2,0),VLOOKUP(G241,Szakmaszorzók!$B$2:$D$25,3,0)))</f>
        <v>2.2000000000000002</v>
      </c>
      <c r="K241" s="320">
        <f>'Támogatás szorzat tényezői'!$C$2*'Támogatás szorzat tényezői'!$C$5*J241*(H241/1000)</f>
        <v>752400.00000000012</v>
      </c>
      <c r="L241" s="300"/>
      <c r="M241" s="319">
        <f t="shared" si="3"/>
        <v>8</v>
      </c>
    </row>
    <row r="242" spans="1:13" ht="15.75" hidden="1" customHeight="1" x14ac:dyDescent="0.25">
      <c r="A242" s="319">
        <v>239</v>
      </c>
      <c r="B242" s="298" t="s">
        <v>2948</v>
      </c>
      <c r="C242" s="313" t="s">
        <v>1522</v>
      </c>
      <c r="D242" s="317" t="s">
        <v>1342</v>
      </c>
      <c r="E242" s="317" t="s">
        <v>3455</v>
      </c>
      <c r="F242" s="317" t="s">
        <v>3456</v>
      </c>
      <c r="G242" s="299" t="s">
        <v>1298</v>
      </c>
      <c r="H242" s="299">
        <v>800</v>
      </c>
      <c r="I242" s="299">
        <v>1200</v>
      </c>
      <c r="J242" s="298">
        <f>IF(OR(G242="ágazaton kívüli",G242="n.a."),2.2,IF(OR(E242=2,E242=3,E242=4),VLOOKUP(G242,Szakmaszorzók!$B$2:$D$25,2,0),VLOOKUP(G242,Szakmaszorzók!$B$2:$D$25,3,0)))</f>
        <v>2.42</v>
      </c>
      <c r="K242" s="320">
        <f>'Támogatás szorzat tényezői'!$C$2*'Támogatás szorzat tényezői'!$C$5*J242*(H242/1000)</f>
        <v>696960</v>
      </c>
      <c r="L242" s="300"/>
      <c r="M242" s="319">
        <f t="shared" si="3"/>
        <v>8</v>
      </c>
    </row>
    <row r="243" spans="1:13" ht="15.75" hidden="1" customHeight="1" x14ac:dyDescent="0.25">
      <c r="A243" s="319">
        <v>100</v>
      </c>
      <c r="B243" s="298" t="s">
        <v>3534</v>
      </c>
      <c r="C243" s="313" t="s">
        <v>1523</v>
      </c>
      <c r="D243" s="317" t="s">
        <v>1299</v>
      </c>
      <c r="E243" s="317" t="s">
        <v>3458</v>
      </c>
      <c r="F243" s="317" t="s">
        <v>3505</v>
      </c>
      <c r="G243" s="299" t="s">
        <v>1298</v>
      </c>
      <c r="H243" s="299">
        <v>800</v>
      </c>
      <c r="I243" s="299">
        <v>1000</v>
      </c>
      <c r="J243" s="298">
        <f>IF(OR(G243="ágazaton kívüli",G243="n.a."),2.2,IF(OR(E243=2,E243=3,E243=4),VLOOKUP(G243,Szakmaszorzók!$B$2:$D$25,2,0),VLOOKUP(G243,Szakmaszorzók!$B$2:$D$25,3,0)))</f>
        <v>2.42</v>
      </c>
      <c r="K243" s="320">
        <f>'Támogatás szorzat tényezői'!$C$2*'Támogatás szorzat tényezői'!$C$5*J243*(H243/1000)</f>
        <v>696960</v>
      </c>
      <c r="L243" s="300"/>
      <c r="M243" s="319">
        <f t="shared" si="3"/>
        <v>8</v>
      </c>
    </row>
    <row r="244" spans="1:13" ht="15.75" hidden="1" customHeight="1" x14ac:dyDescent="0.25">
      <c r="A244" s="319">
        <v>414</v>
      </c>
      <c r="B244" s="298" t="s">
        <v>3754</v>
      </c>
      <c r="C244" s="313" t="s">
        <v>3171</v>
      </c>
      <c r="D244" s="317" t="s">
        <v>3739</v>
      </c>
      <c r="E244" s="317" t="s">
        <v>3459</v>
      </c>
      <c r="F244" s="317" t="s">
        <v>3464</v>
      </c>
      <c r="G244" s="7" t="s">
        <v>1373</v>
      </c>
      <c r="H244" s="296">
        <v>1100</v>
      </c>
      <c r="I244" s="296">
        <v>1500</v>
      </c>
      <c r="J244" s="298">
        <f>IF(OR(G244="ágazaton kívüli",G244="n.a."),2.2,IF(OR(E244=2,E244=3,E244=4),VLOOKUP(G244,Szakmaszorzók!$B$2:$D$25,2,0),VLOOKUP(G244,Szakmaszorzók!$B$2:$D$25,3,0)))</f>
        <v>2.2000000000000002</v>
      </c>
      <c r="K244" s="320">
        <f>'Támogatás szorzat tényezői'!$C$2*'Támogatás szorzat tényezői'!$C$5*J244*(H244/1000)</f>
        <v>871200.00000000023</v>
      </c>
      <c r="L244" s="300"/>
      <c r="M244" s="319">
        <f t="shared" si="3"/>
        <v>8</v>
      </c>
    </row>
    <row r="245" spans="1:13" ht="15.75" hidden="1" customHeight="1" x14ac:dyDescent="0.25">
      <c r="A245" s="319">
        <v>35</v>
      </c>
      <c r="B245" s="298" t="s">
        <v>2862</v>
      </c>
      <c r="C245" s="313" t="s">
        <v>1664</v>
      </c>
      <c r="D245" s="317" t="s">
        <v>1311</v>
      </c>
      <c r="E245" s="317" t="s">
        <v>3459</v>
      </c>
      <c r="F245" s="317" t="s">
        <v>3499</v>
      </c>
      <c r="G245" s="299" t="s">
        <v>1290</v>
      </c>
      <c r="H245" s="299">
        <v>120</v>
      </c>
      <c r="I245" s="299">
        <v>210</v>
      </c>
      <c r="J245" s="298">
        <f>IF(OR(G245="ágazaton kívüli",G245="n.a."),2.2,IF(OR(E245=2,E245=3,E245=4),VLOOKUP(G245,Szakmaszorzók!$B$2:$D$25,2,0),VLOOKUP(G245,Szakmaszorzók!$B$2:$D$25,3,0)))</f>
        <v>2.85</v>
      </c>
      <c r="K245" s="320">
        <f>'Támogatás szorzat tényezői'!$C$2*'Támogatás szorzat tényezői'!$C$5*J245*(H245/1000)</f>
        <v>123120</v>
      </c>
      <c r="L245" s="300"/>
      <c r="M245" s="319">
        <f t="shared" si="3"/>
        <v>8</v>
      </c>
    </row>
    <row r="246" spans="1:13" ht="15.75" hidden="1" customHeight="1" x14ac:dyDescent="0.25">
      <c r="A246" s="319">
        <v>36</v>
      </c>
      <c r="B246" s="298" t="s">
        <v>2861</v>
      </c>
      <c r="C246" s="313" t="s">
        <v>1663</v>
      </c>
      <c r="D246" s="317" t="s">
        <v>1311</v>
      </c>
      <c r="E246" s="317" t="s">
        <v>3459</v>
      </c>
      <c r="F246" s="317" t="s">
        <v>3500</v>
      </c>
      <c r="G246" s="299" t="s">
        <v>1290</v>
      </c>
      <c r="H246" s="299">
        <v>120</v>
      </c>
      <c r="I246" s="299">
        <v>210</v>
      </c>
      <c r="J246" s="298">
        <f>IF(OR(G246="ágazaton kívüli",G246="n.a."),2.2,IF(OR(E246=2,E246=3,E246=4),VLOOKUP(G246,Szakmaszorzók!$B$2:$D$25,2,0),VLOOKUP(G246,Szakmaszorzók!$B$2:$D$25,3,0)))</f>
        <v>2.85</v>
      </c>
      <c r="K246" s="320">
        <f>'Támogatás szorzat tényezői'!$C$2*'Támogatás szorzat tényezői'!$C$5*J246*(H246/1000)</f>
        <v>123120</v>
      </c>
      <c r="L246" s="300"/>
      <c r="M246" s="319">
        <f t="shared" si="3"/>
        <v>8</v>
      </c>
    </row>
    <row r="247" spans="1:13" ht="15.75" hidden="1" customHeight="1" x14ac:dyDescent="0.25">
      <c r="A247" s="319">
        <v>37</v>
      </c>
      <c r="B247" s="298" t="s">
        <v>3501</v>
      </c>
      <c r="C247" s="313" t="s">
        <v>1524</v>
      </c>
      <c r="D247" s="317" t="s">
        <v>1311</v>
      </c>
      <c r="E247" s="317" t="s">
        <v>3459</v>
      </c>
      <c r="F247" s="317" t="s">
        <v>3502</v>
      </c>
      <c r="G247" s="299" t="s">
        <v>1290</v>
      </c>
      <c r="H247" s="299">
        <v>160</v>
      </c>
      <c r="I247" s="299">
        <v>200</v>
      </c>
      <c r="J247" s="298">
        <f>IF(OR(G247="ágazaton kívüli",G247="n.a."),2.2,IF(OR(E247=2,E247=3,E247=4),VLOOKUP(G247,Szakmaszorzók!$B$2:$D$25,2,0),VLOOKUP(G247,Szakmaszorzók!$B$2:$D$25,3,0)))</f>
        <v>2.85</v>
      </c>
      <c r="K247" s="320">
        <f>'Támogatás szorzat tényezői'!$C$2*'Támogatás szorzat tényezői'!$C$5*J247*(H247/1000)</f>
        <v>164160</v>
      </c>
      <c r="L247" s="300"/>
      <c r="M247" s="319">
        <f t="shared" si="3"/>
        <v>8</v>
      </c>
    </row>
    <row r="248" spans="1:13" ht="15.75" hidden="1" customHeight="1" x14ac:dyDescent="0.25">
      <c r="A248" s="319">
        <v>360</v>
      </c>
      <c r="B248" s="298" t="s">
        <v>3729</v>
      </c>
      <c r="C248" s="313" t="s">
        <v>1525</v>
      </c>
      <c r="D248" s="317" t="s">
        <v>1374</v>
      </c>
      <c r="E248" s="317" t="s">
        <v>3459</v>
      </c>
      <c r="F248" s="317" t="s">
        <v>3456</v>
      </c>
      <c r="G248" s="308" t="s">
        <v>1883</v>
      </c>
      <c r="H248" s="299">
        <v>900</v>
      </c>
      <c r="I248" s="299">
        <v>1300</v>
      </c>
      <c r="J248" s="298">
        <f>IF(OR(G248="ágazaton kívüli",G248="n.a."),2.2,IF(OR(E248=2,E248=3,E248=4),VLOOKUP(G248,Szakmaszorzók!$B$2:$D$25,2,0),VLOOKUP(G248,Szakmaszorzók!$B$2:$D$25,3,0)))</f>
        <v>2.2000000000000002</v>
      </c>
      <c r="K248" s="320">
        <f>'Támogatás szorzat tényezői'!$C$2*'Támogatás szorzat tényezői'!$C$5*J248*(H248/1000)</f>
        <v>712800.00000000012</v>
      </c>
      <c r="L248" s="300"/>
      <c r="M248" s="319">
        <f t="shared" si="3"/>
        <v>8</v>
      </c>
    </row>
    <row r="249" spans="1:13" ht="15.75" hidden="1" customHeight="1" x14ac:dyDescent="0.25">
      <c r="A249" s="319">
        <v>415</v>
      </c>
      <c r="B249" s="298" t="s">
        <v>3755</v>
      </c>
      <c r="C249" s="313" t="s">
        <v>3174</v>
      </c>
      <c r="D249" s="317" t="s">
        <v>3739</v>
      </c>
      <c r="E249" s="317" t="s">
        <v>3459</v>
      </c>
      <c r="F249" s="317" t="s">
        <v>3505</v>
      </c>
      <c r="G249" s="7" t="s">
        <v>1373</v>
      </c>
      <c r="H249" s="296">
        <v>320</v>
      </c>
      <c r="I249" s="296">
        <v>450</v>
      </c>
      <c r="J249" s="298">
        <f>IF(OR(G249="ágazaton kívüli",G249="n.a."),2.2,IF(OR(E249=2,E249=3,E249=4),VLOOKUP(G249,Szakmaszorzók!$B$2:$D$25,2,0),VLOOKUP(G249,Szakmaszorzók!$B$2:$D$25,3,0)))</f>
        <v>2.2000000000000002</v>
      </c>
      <c r="K249" s="320">
        <f>'Támogatás szorzat tényezői'!$C$2*'Támogatás szorzat tényezői'!$C$5*J249*(H249/1000)</f>
        <v>253440.00000000003</v>
      </c>
      <c r="L249" s="300"/>
      <c r="M249" s="319">
        <f t="shared" si="3"/>
        <v>8</v>
      </c>
    </row>
    <row r="250" spans="1:13" ht="15.75" hidden="1" customHeight="1" x14ac:dyDescent="0.25">
      <c r="A250" s="319">
        <v>334</v>
      </c>
      <c r="B250" s="298" t="s">
        <v>3091</v>
      </c>
      <c r="C250" s="313" t="s">
        <v>1628</v>
      </c>
      <c r="D250" s="317" t="s">
        <v>3713</v>
      </c>
      <c r="E250" s="317" t="s">
        <v>3455</v>
      </c>
      <c r="F250" s="317" t="s">
        <v>3456</v>
      </c>
      <c r="G250" s="308" t="s">
        <v>1883</v>
      </c>
      <c r="H250" s="299">
        <v>250</v>
      </c>
      <c r="I250" s="299">
        <v>320</v>
      </c>
      <c r="J250" s="298">
        <f>IF(OR(G250="ágazaton kívüli",G250="n.a."),2.2,IF(OR(E250=2,E250=3,E250=4),VLOOKUP(G250,Szakmaszorzók!$B$2:$D$25,2,0),VLOOKUP(G250,Szakmaszorzók!$B$2:$D$25,3,0)))</f>
        <v>2.2000000000000002</v>
      </c>
      <c r="K250" s="320">
        <f>'Támogatás szorzat tényezői'!$C$2*'Támogatás szorzat tényezői'!$C$5*J250*(H250/1000)</f>
        <v>198000.00000000003</v>
      </c>
      <c r="L250" s="300"/>
      <c r="M250" s="319">
        <f t="shared" si="3"/>
        <v>8</v>
      </c>
    </row>
    <row r="251" spans="1:13" ht="15.75" hidden="1" customHeight="1" x14ac:dyDescent="0.25">
      <c r="A251" s="319">
        <v>339</v>
      </c>
      <c r="B251" s="298" t="s">
        <v>3096</v>
      </c>
      <c r="C251" s="313" t="s">
        <v>3097</v>
      </c>
      <c r="D251" s="317" t="s">
        <v>3716</v>
      </c>
      <c r="E251" s="317" t="s">
        <v>3459</v>
      </c>
      <c r="F251" s="317" t="s">
        <v>3462</v>
      </c>
      <c r="G251" s="299" t="s">
        <v>1316</v>
      </c>
      <c r="H251" s="299">
        <v>320</v>
      </c>
      <c r="I251" s="299">
        <v>400</v>
      </c>
      <c r="J251" s="298">
        <f>IF(OR(G251="ágazaton kívüli",G251="n.a."),2.2,IF(OR(E251=2,E251=3,E251=4),VLOOKUP(G251,Szakmaszorzók!$B$2:$D$25,2,0),VLOOKUP(G251,Szakmaszorzók!$B$2:$D$25,3,0)))</f>
        <v>2.85</v>
      </c>
      <c r="K251" s="320">
        <f>'Támogatás szorzat tényezői'!$C$2*'Támogatás szorzat tényezői'!$C$5*J251*(H251/1000)</f>
        <v>328320</v>
      </c>
      <c r="L251" s="300"/>
      <c r="M251" s="319">
        <f t="shared" si="3"/>
        <v>8</v>
      </c>
    </row>
    <row r="252" spans="1:13" ht="15.75" hidden="1" customHeight="1" x14ac:dyDescent="0.25">
      <c r="A252" s="319">
        <v>416</v>
      </c>
      <c r="B252" s="298" t="s">
        <v>3160</v>
      </c>
      <c r="C252" s="313" t="s">
        <v>3161</v>
      </c>
      <c r="D252" s="317" t="s">
        <v>3739</v>
      </c>
      <c r="E252" s="317" t="s">
        <v>3458</v>
      </c>
      <c r="F252" s="317" t="s">
        <v>3461</v>
      </c>
      <c r="G252" s="7" t="s">
        <v>1373</v>
      </c>
      <c r="H252" s="296">
        <v>150</v>
      </c>
      <c r="I252" s="296">
        <v>200</v>
      </c>
      <c r="J252" s="298">
        <f>IF(OR(G252="ágazaton kívüli",G252="n.a."),2.2,IF(OR(E252=2,E252=3,E252=4),VLOOKUP(G252,Szakmaszorzók!$B$2:$D$25,2,0),VLOOKUP(G252,Szakmaszorzók!$B$2:$D$25,3,0)))</f>
        <v>2.2000000000000002</v>
      </c>
      <c r="K252" s="320">
        <f>'Támogatás szorzat tényezői'!$C$2*'Támogatás szorzat tényezői'!$C$5*J252*(H252/1000)</f>
        <v>118800.00000000001</v>
      </c>
      <c r="L252" s="300"/>
      <c r="M252" s="319">
        <f t="shared" si="3"/>
        <v>8</v>
      </c>
    </row>
    <row r="253" spans="1:13" ht="15.75" hidden="1" customHeight="1" x14ac:dyDescent="0.25">
      <c r="A253" s="319">
        <v>101</v>
      </c>
      <c r="B253" s="298" t="s">
        <v>2912</v>
      </c>
      <c r="C253" s="313" t="s">
        <v>1681</v>
      </c>
      <c r="D253" s="317" t="s">
        <v>1294</v>
      </c>
      <c r="E253" s="317" t="s">
        <v>3458</v>
      </c>
      <c r="F253" s="317" t="s">
        <v>3464</v>
      </c>
      <c r="G253" s="299" t="s">
        <v>1293</v>
      </c>
      <c r="H253" s="299">
        <v>400</v>
      </c>
      <c r="I253" s="299">
        <v>500</v>
      </c>
      <c r="J253" s="298">
        <f>IF(OR(G253="ágazaton kívüli",G253="n.a."),2.2,IF(OR(E253=2,E253=3,E253=4),VLOOKUP(G253,Szakmaszorzók!$B$2:$D$25,2,0),VLOOKUP(G253,Szakmaszorzók!$B$2:$D$25,3,0)))</f>
        <v>2.42</v>
      </c>
      <c r="K253" s="320">
        <f>'Támogatás szorzat tényezői'!$C$2*'Támogatás szorzat tényezői'!$C$5*J253*(H253/1000)</f>
        <v>348480</v>
      </c>
      <c r="L253" s="300"/>
      <c r="M253" s="319">
        <f t="shared" si="3"/>
        <v>8</v>
      </c>
    </row>
    <row r="254" spans="1:13" ht="15.75" hidden="1" customHeight="1" x14ac:dyDescent="0.25">
      <c r="A254" s="319">
        <v>240</v>
      </c>
      <c r="B254" s="298" t="s">
        <v>2949</v>
      </c>
      <c r="C254" s="313" t="s">
        <v>1526</v>
      </c>
      <c r="D254" s="317" t="s">
        <v>1305</v>
      </c>
      <c r="E254" s="317" t="s">
        <v>3459</v>
      </c>
      <c r="F254" s="317" t="s">
        <v>3456</v>
      </c>
      <c r="G254" s="299" t="s">
        <v>1298</v>
      </c>
      <c r="H254" s="299">
        <v>600</v>
      </c>
      <c r="I254" s="299">
        <v>700</v>
      </c>
      <c r="J254" s="298">
        <f>IF(OR(G254="ágazaton kívüli",G254="n.a."),2.2,IF(OR(E254=2,E254=3,E254=4),VLOOKUP(G254,Szakmaszorzók!$B$2:$D$25,2,0),VLOOKUP(G254,Szakmaszorzók!$B$2:$D$25,3,0)))</f>
        <v>2.42</v>
      </c>
      <c r="K254" s="320">
        <f>'Támogatás szorzat tényezői'!$C$2*'Támogatás szorzat tényezői'!$C$5*J254*(H254/1000)</f>
        <v>522720</v>
      </c>
      <c r="L254" s="300"/>
      <c r="M254" s="319">
        <f t="shared" si="3"/>
        <v>8</v>
      </c>
    </row>
    <row r="255" spans="1:13" ht="15.75" hidden="1" customHeight="1" x14ac:dyDescent="0.25">
      <c r="A255" s="319">
        <v>38</v>
      </c>
      <c r="B255" s="298" t="s">
        <v>2865</v>
      </c>
      <c r="C255" s="313" t="s">
        <v>1653</v>
      </c>
      <c r="D255" s="317" t="s">
        <v>1311</v>
      </c>
      <c r="E255" s="317" t="s">
        <v>3455</v>
      </c>
      <c r="F255" s="317" t="s">
        <v>3473</v>
      </c>
      <c r="G255" s="299" t="s">
        <v>1315</v>
      </c>
      <c r="H255" s="299">
        <v>400</v>
      </c>
      <c r="I255" s="299">
        <v>450</v>
      </c>
      <c r="J255" s="298">
        <f>IF(OR(G255="ágazaton kívüli",G255="n.a."),2.2,IF(OR(E255=2,E255=3,E255=4),VLOOKUP(G255,Szakmaszorzók!$B$2:$D$25,2,0),VLOOKUP(G255,Szakmaszorzók!$B$2:$D$25,3,0)))</f>
        <v>2.42</v>
      </c>
      <c r="K255" s="320">
        <f>'Támogatás szorzat tényezői'!$C$2*'Támogatás szorzat tényezői'!$C$5*J255*(H255/1000)</f>
        <v>348480</v>
      </c>
      <c r="L255" s="300"/>
      <c r="M255" s="319">
        <f t="shared" si="3"/>
        <v>8</v>
      </c>
    </row>
    <row r="256" spans="1:13" ht="15.75" hidden="1" customHeight="1" x14ac:dyDescent="0.25">
      <c r="A256" s="319">
        <v>342</v>
      </c>
      <c r="B256" s="298" t="s">
        <v>3099</v>
      </c>
      <c r="C256" s="313" t="s">
        <v>1629</v>
      </c>
      <c r="D256" s="317" t="s">
        <v>3721</v>
      </c>
      <c r="E256" s="317" t="s">
        <v>3455</v>
      </c>
      <c r="F256" s="317" t="s">
        <v>3456</v>
      </c>
      <c r="G256" s="308" t="s">
        <v>1883</v>
      </c>
      <c r="H256" s="299">
        <v>450</v>
      </c>
      <c r="I256" s="299">
        <v>700</v>
      </c>
      <c r="J256" s="298">
        <f>IF(OR(G256="ágazaton kívüli",G256="n.a."),2.2,IF(OR(E256=2,E256=3,E256=4),VLOOKUP(G256,Szakmaszorzók!$B$2:$D$25,2,0),VLOOKUP(G256,Szakmaszorzók!$B$2:$D$25,3,0)))</f>
        <v>2.2000000000000002</v>
      </c>
      <c r="K256" s="320">
        <f>'Támogatás szorzat tényezői'!$C$2*'Támogatás szorzat tényezői'!$C$5*J256*(H256/1000)</f>
        <v>356400.00000000006</v>
      </c>
      <c r="L256" s="300"/>
      <c r="M256" s="319">
        <f t="shared" si="3"/>
        <v>8</v>
      </c>
    </row>
    <row r="257" spans="1:13" ht="15.75" hidden="1" customHeight="1" x14ac:dyDescent="0.25">
      <c r="A257" s="319">
        <v>143</v>
      </c>
      <c r="B257" s="298" t="s">
        <v>3555</v>
      </c>
      <c r="C257" s="313" t="s">
        <v>1693</v>
      </c>
      <c r="D257" s="317" t="s">
        <v>1332</v>
      </c>
      <c r="E257" s="317" t="s">
        <v>3458</v>
      </c>
      <c r="F257" s="317" t="s">
        <v>3464</v>
      </c>
      <c r="G257" s="299" t="s">
        <v>1316</v>
      </c>
      <c r="H257" s="299">
        <v>640</v>
      </c>
      <c r="I257" s="299">
        <v>960</v>
      </c>
      <c r="J257" s="298">
        <f>IF(OR(G257="ágazaton kívüli",G257="n.a."),2.2,IF(OR(E257=2,E257=3,E257=4),VLOOKUP(G257,Szakmaszorzók!$B$2:$D$25,2,0),VLOOKUP(G257,Szakmaszorzók!$B$2:$D$25,3,0)))</f>
        <v>2.85</v>
      </c>
      <c r="K257" s="320">
        <f>'Támogatás szorzat tényezői'!$C$2*'Támogatás szorzat tényezői'!$C$5*J257*(H257/1000)</f>
        <v>656640</v>
      </c>
      <c r="L257" s="300"/>
      <c r="M257" s="319">
        <f t="shared" si="3"/>
        <v>8</v>
      </c>
    </row>
    <row r="258" spans="1:13" ht="15.75" hidden="1" customHeight="1" x14ac:dyDescent="0.25">
      <c r="A258" s="319">
        <v>417</v>
      </c>
      <c r="B258" s="298" t="s">
        <v>3756</v>
      </c>
      <c r="C258" s="313" t="s">
        <v>3200</v>
      </c>
      <c r="D258" s="317" t="s">
        <v>3739</v>
      </c>
      <c r="E258" s="317" t="s">
        <v>3455</v>
      </c>
      <c r="F258" s="317" t="s">
        <v>3466</v>
      </c>
      <c r="G258" s="7" t="s">
        <v>1373</v>
      </c>
      <c r="H258" s="296">
        <v>600</v>
      </c>
      <c r="I258" s="296">
        <v>800</v>
      </c>
      <c r="J258" s="298">
        <f>IF(OR(G258="ágazaton kívüli",G258="n.a."),2.2,IF(OR(E258=2,E258=3,E258=4),VLOOKUP(G258,Szakmaszorzók!$B$2:$D$25,2,0),VLOOKUP(G258,Szakmaszorzók!$B$2:$D$25,3,0)))</f>
        <v>2.2000000000000002</v>
      </c>
      <c r="K258" s="320">
        <f>'Támogatás szorzat tényezői'!$C$2*'Támogatás szorzat tényezői'!$C$5*J258*(H258/1000)</f>
        <v>475200.00000000006</v>
      </c>
      <c r="L258" s="300"/>
      <c r="M258" s="319">
        <f t="shared" ref="M258:M321" si="4">LEN(C258)</f>
        <v>8</v>
      </c>
    </row>
    <row r="259" spans="1:13" ht="15.75" hidden="1" customHeight="1" x14ac:dyDescent="0.25">
      <c r="A259" s="319">
        <v>39</v>
      </c>
      <c r="B259" s="298" t="s">
        <v>3503</v>
      </c>
      <c r="C259" s="313" t="s">
        <v>1527</v>
      </c>
      <c r="D259" s="317" t="s">
        <v>1311</v>
      </c>
      <c r="E259" s="317" t="s">
        <v>3459</v>
      </c>
      <c r="F259" s="317" t="s">
        <v>3480</v>
      </c>
      <c r="G259" s="299" t="s">
        <v>1290</v>
      </c>
      <c r="H259" s="299">
        <v>400</v>
      </c>
      <c r="I259" s="299">
        <v>500</v>
      </c>
      <c r="J259" s="298">
        <f>IF(OR(G259="ágazaton kívüli",G259="n.a."),2.2,IF(OR(E259=2,E259=3,E259=4),VLOOKUP(G259,Szakmaszorzók!$B$2:$D$25,2,0),VLOOKUP(G259,Szakmaszorzók!$B$2:$D$25,3,0)))</f>
        <v>2.85</v>
      </c>
      <c r="K259" s="320">
        <f>'Támogatás szorzat tényezői'!$C$2*'Támogatás szorzat tényezői'!$C$5*J259*(H259/1000)</f>
        <v>410400</v>
      </c>
      <c r="L259" s="300"/>
      <c r="M259" s="319">
        <f t="shared" si="4"/>
        <v>8</v>
      </c>
    </row>
    <row r="260" spans="1:13" ht="15.75" hidden="1" customHeight="1" x14ac:dyDescent="0.25">
      <c r="A260" s="319">
        <v>144</v>
      </c>
      <c r="B260" s="298" t="s">
        <v>2947</v>
      </c>
      <c r="C260" s="313" t="s">
        <v>1695</v>
      </c>
      <c r="D260" s="317" t="s">
        <v>1332</v>
      </c>
      <c r="E260" s="317" t="s">
        <v>3458</v>
      </c>
      <c r="F260" s="317" t="s">
        <v>3462</v>
      </c>
      <c r="G260" s="299" t="s">
        <v>1316</v>
      </c>
      <c r="H260" s="299">
        <v>240</v>
      </c>
      <c r="I260" s="299">
        <v>360</v>
      </c>
      <c r="J260" s="298">
        <f>IF(OR(G260="ágazaton kívüli",G260="n.a."),2.2,IF(OR(E260=2,E260=3,E260=4),VLOOKUP(G260,Szakmaszorzók!$B$2:$D$25,2,0),VLOOKUP(G260,Szakmaszorzók!$B$2:$D$25,3,0)))</f>
        <v>2.85</v>
      </c>
      <c r="K260" s="320">
        <f>'Támogatás szorzat tényezői'!$C$2*'Támogatás szorzat tényezői'!$C$5*J260*(H260/1000)</f>
        <v>246240</v>
      </c>
      <c r="L260" s="300"/>
      <c r="M260" s="319">
        <f t="shared" si="4"/>
        <v>8</v>
      </c>
    </row>
    <row r="261" spans="1:13" ht="15.75" hidden="1" customHeight="1" x14ac:dyDescent="0.25">
      <c r="A261" s="319">
        <v>102</v>
      </c>
      <c r="B261" s="298" t="s">
        <v>3535</v>
      </c>
      <c r="C261" s="313" t="s">
        <v>1528</v>
      </c>
      <c r="D261" s="317" t="s">
        <v>1294</v>
      </c>
      <c r="E261" s="317" t="s">
        <v>3458</v>
      </c>
      <c r="F261" s="317" t="s">
        <v>3456</v>
      </c>
      <c r="G261" s="299" t="s">
        <v>1293</v>
      </c>
      <c r="H261" s="299">
        <v>400</v>
      </c>
      <c r="I261" s="299">
        <v>600</v>
      </c>
      <c r="J261" s="298">
        <f>IF(OR(G261="ágazaton kívüli",G261="n.a."),2.2,IF(OR(E261=2,E261=3,E261=4),VLOOKUP(G261,Szakmaszorzók!$B$2:$D$25,2,0),VLOOKUP(G261,Szakmaszorzók!$B$2:$D$25,3,0)))</f>
        <v>2.42</v>
      </c>
      <c r="K261" s="320">
        <f>'Támogatás szorzat tényezői'!$C$2*'Támogatás szorzat tényezői'!$C$5*J261*(H261/1000)</f>
        <v>348480</v>
      </c>
      <c r="L261" s="300"/>
      <c r="M261" s="319">
        <f t="shared" si="4"/>
        <v>8</v>
      </c>
    </row>
    <row r="262" spans="1:13" ht="15.75" hidden="1" customHeight="1" x14ac:dyDescent="0.25">
      <c r="A262" s="319">
        <v>145</v>
      </c>
      <c r="B262" s="298" t="s">
        <v>237</v>
      </c>
      <c r="C262" s="313" t="s">
        <v>1698</v>
      </c>
      <c r="D262" s="317" t="s">
        <v>3554</v>
      </c>
      <c r="E262" s="317" t="s">
        <v>3459</v>
      </c>
      <c r="F262" s="317" t="s">
        <v>3456</v>
      </c>
      <c r="G262" s="299" t="s">
        <v>1316</v>
      </c>
      <c r="H262" s="299">
        <v>600</v>
      </c>
      <c r="I262" s="299">
        <v>1000</v>
      </c>
      <c r="J262" s="298">
        <f>IF(OR(G262="ágazaton kívüli",G262="n.a."),2.2,IF(OR(E262=2,E262=3,E262=4),VLOOKUP(G262,Szakmaszorzók!$B$2:$D$25,2,0),VLOOKUP(G262,Szakmaszorzók!$B$2:$D$25,3,0)))</f>
        <v>2.85</v>
      </c>
      <c r="K262" s="320">
        <f>'Támogatás szorzat tényezői'!$C$2*'Támogatás szorzat tényezői'!$C$5*J262*(H262/1000)</f>
        <v>615600</v>
      </c>
      <c r="L262" s="300"/>
      <c r="M262" s="319">
        <f t="shared" si="4"/>
        <v>8</v>
      </c>
    </row>
    <row r="263" spans="1:13" ht="15.75" hidden="1" customHeight="1" x14ac:dyDescent="0.25">
      <c r="A263" s="319">
        <v>131</v>
      </c>
      <c r="B263" s="298" t="s">
        <v>271</v>
      </c>
      <c r="C263" s="313" t="s">
        <v>1640</v>
      </c>
      <c r="D263" s="317" t="s">
        <v>1638</v>
      </c>
      <c r="E263" s="317" t="s">
        <v>3455</v>
      </c>
      <c r="F263" s="317" t="s">
        <v>3464</v>
      </c>
      <c r="G263" s="299" t="s">
        <v>1353</v>
      </c>
      <c r="H263" s="299">
        <v>400</v>
      </c>
      <c r="I263" s="299">
        <v>550</v>
      </c>
      <c r="J263" s="298">
        <f>IF(OR(G263="ágazaton kívüli",G263="n.a."),2.2,IF(OR(E263=2,E263=3,E263=4),VLOOKUP(G263,Szakmaszorzók!$B$2:$D$25,2,0),VLOOKUP(G263,Szakmaszorzók!$B$2:$D$25,3,0)))</f>
        <v>2.2000000000000002</v>
      </c>
      <c r="K263" s="320">
        <f>'Támogatás szorzat tényezői'!$C$2*'Támogatás szorzat tényezői'!$C$5*J263*(H263/1000)</f>
        <v>316800.00000000006</v>
      </c>
      <c r="L263" s="300"/>
      <c r="M263" s="319">
        <f t="shared" si="4"/>
        <v>8</v>
      </c>
    </row>
    <row r="264" spans="1:13" ht="15.75" hidden="1" customHeight="1" x14ac:dyDescent="0.25">
      <c r="A264" s="319">
        <v>103</v>
      </c>
      <c r="B264" s="298" t="s">
        <v>241</v>
      </c>
      <c r="C264" s="313" t="s">
        <v>1676</v>
      </c>
      <c r="D264" s="317" t="s">
        <v>1674</v>
      </c>
      <c r="E264" s="317" t="s">
        <v>3459</v>
      </c>
      <c r="F264" s="317" t="s">
        <v>3464</v>
      </c>
      <c r="G264" s="299" t="s">
        <v>1296</v>
      </c>
      <c r="H264" s="299">
        <v>520</v>
      </c>
      <c r="I264" s="299">
        <v>600</v>
      </c>
      <c r="J264" s="298">
        <f>IF(OR(G264="ágazaton kívüli",G264="n.a."),2.2,IF(OR(E264=2,E264=3,E264=4),VLOOKUP(G264,Szakmaszorzók!$B$2:$D$25,2,0),VLOOKUP(G264,Szakmaszorzók!$B$2:$D$25,3,0)))</f>
        <v>2.2000000000000002</v>
      </c>
      <c r="K264" s="320">
        <f>'Támogatás szorzat tényezői'!$C$2*'Támogatás szorzat tényezői'!$C$5*J264*(H264/1000)</f>
        <v>411840.00000000006</v>
      </c>
      <c r="L264" s="300"/>
      <c r="M264" s="319">
        <f t="shared" si="4"/>
        <v>8</v>
      </c>
    </row>
    <row r="265" spans="1:13" ht="15.75" hidden="1" customHeight="1" x14ac:dyDescent="0.25">
      <c r="A265" s="319">
        <v>40</v>
      </c>
      <c r="B265" s="298" t="s">
        <v>2875</v>
      </c>
      <c r="C265" s="313" t="s">
        <v>1529</v>
      </c>
      <c r="D265" s="317" t="s">
        <v>1302</v>
      </c>
      <c r="E265" s="317" t="s">
        <v>3458</v>
      </c>
      <c r="F265" s="317" t="s">
        <v>3481</v>
      </c>
      <c r="G265" s="299" t="s">
        <v>1301</v>
      </c>
      <c r="H265" s="299">
        <v>120</v>
      </c>
      <c r="I265" s="299">
        <v>180</v>
      </c>
      <c r="J265" s="298">
        <f>IF(OR(G265="ágazaton kívüli",G265="n.a."),2.2,IF(OR(E265=2,E265=3,E265=4),VLOOKUP(G265,Szakmaszorzók!$B$2:$D$25,2,0),VLOOKUP(G265,Szakmaszorzók!$B$2:$D$25,3,0)))</f>
        <v>2.85</v>
      </c>
      <c r="K265" s="320">
        <f>'Támogatás szorzat tényezői'!$C$2*'Támogatás szorzat tényezői'!$C$5*J265*(H265/1000)</f>
        <v>123120</v>
      </c>
      <c r="L265" s="300"/>
      <c r="M265" s="319">
        <f t="shared" si="4"/>
        <v>8</v>
      </c>
    </row>
    <row r="266" spans="1:13" ht="15.75" hidden="1" customHeight="1" x14ac:dyDescent="0.25">
      <c r="A266" s="319">
        <v>132</v>
      </c>
      <c r="B266" s="298" t="s">
        <v>276</v>
      </c>
      <c r="C266" s="313" t="s">
        <v>1641</v>
      </c>
      <c r="D266" s="317" t="s">
        <v>1638</v>
      </c>
      <c r="E266" s="317" t="s">
        <v>3455</v>
      </c>
      <c r="F266" s="317" t="s">
        <v>3481</v>
      </c>
      <c r="G266" s="299" t="s">
        <v>1353</v>
      </c>
      <c r="H266" s="299">
        <v>400</v>
      </c>
      <c r="I266" s="299">
        <v>550</v>
      </c>
      <c r="J266" s="298">
        <f>IF(OR(G266="ágazaton kívüli",G266="n.a."),2.2,IF(OR(E266=2,E266=3,E266=4),VLOOKUP(G266,Szakmaszorzók!$B$2:$D$25,2,0),VLOOKUP(G266,Szakmaszorzók!$B$2:$D$25,3,0)))</f>
        <v>2.2000000000000002</v>
      </c>
      <c r="K266" s="320">
        <f>'Támogatás szorzat tényezői'!$C$2*'Támogatás szorzat tényezői'!$C$5*J266*(H266/1000)</f>
        <v>316800.00000000006</v>
      </c>
      <c r="L266" s="300"/>
      <c r="M266" s="319">
        <f t="shared" si="4"/>
        <v>8</v>
      </c>
    </row>
    <row r="267" spans="1:13" ht="15.75" hidden="1" customHeight="1" x14ac:dyDescent="0.25">
      <c r="A267" s="319">
        <v>361</v>
      </c>
      <c r="B267" s="298" t="s">
        <v>3730</v>
      </c>
      <c r="C267" s="313" t="s">
        <v>2800</v>
      </c>
      <c r="D267" s="317" t="s">
        <v>1979</v>
      </c>
      <c r="E267" s="317" t="s">
        <v>3455</v>
      </c>
      <c r="F267" s="317" t="s">
        <v>3456</v>
      </c>
      <c r="G267" s="299" t="s">
        <v>1389</v>
      </c>
      <c r="H267" s="299">
        <v>240</v>
      </c>
      <c r="I267" s="299">
        <v>360</v>
      </c>
      <c r="J267" s="298">
        <f>IF(OR(G267="ágazaton kívüli",G267="n.a."),2.2,IF(OR(E267=2,E267=3,E267=4),VLOOKUP(G267,Szakmaszorzók!$B$2:$D$25,2,0),VLOOKUP(G267,Szakmaszorzók!$B$2:$D$25,3,0)))</f>
        <v>2.2000000000000002</v>
      </c>
      <c r="K267" s="320">
        <f>'Támogatás szorzat tényezői'!$C$2*'Támogatás szorzat tényezői'!$C$5*J267*(H267/1000)</f>
        <v>190080.00000000003</v>
      </c>
      <c r="L267" s="300"/>
      <c r="M267" s="319">
        <f t="shared" si="4"/>
        <v>8</v>
      </c>
    </row>
    <row r="268" spans="1:13" ht="15.75" hidden="1" customHeight="1" x14ac:dyDescent="0.25">
      <c r="A268" s="319">
        <v>104</v>
      </c>
      <c r="B268" s="298" t="s">
        <v>3536</v>
      </c>
      <c r="C268" s="313" t="s">
        <v>1530</v>
      </c>
      <c r="D268" s="317" t="s">
        <v>1299</v>
      </c>
      <c r="E268" s="317" t="s">
        <v>3459</v>
      </c>
      <c r="F268" s="317" t="s">
        <v>3481</v>
      </c>
      <c r="G268" s="299" t="s">
        <v>1298</v>
      </c>
      <c r="H268" s="299">
        <v>900</v>
      </c>
      <c r="I268" s="299">
        <v>1200</v>
      </c>
      <c r="J268" s="298">
        <f>IF(OR(G268="ágazaton kívüli",G268="n.a."),2.2,IF(OR(E268=2,E268=3,E268=4),VLOOKUP(G268,Szakmaszorzók!$B$2:$D$25,2,0),VLOOKUP(G268,Szakmaszorzók!$B$2:$D$25,3,0)))</f>
        <v>2.42</v>
      </c>
      <c r="K268" s="320">
        <f>'Támogatás szorzat tényezői'!$C$2*'Támogatás szorzat tényezői'!$C$5*J268*(H268/1000)</f>
        <v>784080</v>
      </c>
      <c r="L268" s="300"/>
      <c r="M268" s="319">
        <f t="shared" si="4"/>
        <v>8</v>
      </c>
    </row>
    <row r="269" spans="1:13" ht="15.75" hidden="1" customHeight="1" x14ac:dyDescent="0.25">
      <c r="A269" s="319">
        <v>138</v>
      </c>
      <c r="B269" s="303" t="s">
        <v>3553</v>
      </c>
      <c r="C269" s="313" t="s">
        <v>2942</v>
      </c>
      <c r="D269" s="317" t="s">
        <v>3552</v>
      </c>
      <c r="E269" s="317" t="s">
        <v>3459</v>
      </c>
      <c r="F269" s="317" t="s">
        <v>3464</v>
      </c>
      <c r="G269" s="304" t="s">
        <v>1709</v>
      </c>
      <c r="H269" s="304">
        <v>300</v>
      </c>
      <c r="I269" s="304">
        <v>400</v>
      </c>
      <c r="J269" s="298">
        <f>IF(OR(G269="ágazaton kívüli",G269="n.a."),2.2,IF(OR(E269=2,E269=3,E269=4),VLOOKUP(G269,Szakmaszorzók!$B$2:$D$25,2,0),VLOOKUP(G269,Szakmaszorzók!$B$2:$D$25,3,0)))</f>
        <v>2.2000000000000002</v>
      </c>
      <c r="K269" s="320">
        <f>'Támogatás szorzat tényezői'!$C$2*'Támogatás szorzat tényezői'!$C$5*J269*(H269/1000)</f>
        <v>237600.00000000003</v>
      </c>
      <c r="L269" s="305"/>
      <c r="M269" s="319">
        <f t="shared" si="4"/>
        <v>8</v>
      </c>
    </row>
    <row r="270" spans="1:13" ht="15.75" hidden="1" customHeight="1" x14ac:dyDescent="0.25">
      <c r="A270" s="319">
        <v>105</v>
      </c>
      <c r="B270" s="298" t="s">
        <v>2915</v>
      </c>
      <c r="C270" s="313" t="s">
        <v>1531</v>
      </c>
      <c r="D270" s="317" t="s">
        <v>1281</v>
      </c>
      <c r="E270" s="317" t="s">
        <v>3458</v>
      </c>
      <c r="F270" s="317" t="s">
        <v>3462</v>
      </c>
      <c r="G270" s="299" t="s">
        <v>1280</v>
      </c>
      <c r="H270" s="299">
        <v>160</v>
      </c>
      <c r="I270" s="299">
        <v>240</v>
      </c>
      <c r="J270" s="298">
        <f>IF(OR(G270="ágazaton kívüli",G270="n.a."),2.2,IF(OR(E270=2,E270=3,E270=4),VLOOKUP(G270,Szakmaszorzók!$B$2:$D$25,2,0),VLOOKUP(G270,Szakmaszorzók!$B$2:$D$25,3,0)))</f>
        <v>2.85</v>
      </c>
      <c r="K270" s="320">
        <f>'Támogatás szorzat tényezői'!$C$2*'Támogatás szorzat tényezői'!$C$5*J270*(H270/1000)</f>
        <v>164160</v>
      </c>
      <c r="L270" s="300"/>
      <c r="M270" s="319">
        <f t="shared" si="4"/>
        <v>8</v>
      </c>
    </row>
    <row r="271" spans="1:13" ht="15.75" hidden="1" customHeight="1" x14ac:dyDescent="0.25">
      <c r="A271" s="319">
        <v>78</v>
      </c>
      <c r="B271" s="298" t="s">
        <v>3522</v>
      </c>
      <c r="C271" s="313" t="s">
        <v>1687</v>
      </c>
      <c r="D271" s="317" t="s">
        <v>1283</v>
      </c>
      <c r="E271" s="317" t="s">
        <v>3455</v>
      </c>
      <c r="F271" s="317" t="s">
        <v>3461</v>
      </c>
      <c r="G271" s="299" t="s">
        <v>1282</v>
      </c>
      <c r="H271" s="299">
        <v>500</v>
      </c>
      <c r="I271" s="299">
        <v>980</v>
      </c>
      <c r="J271" s="298">
        <f>IF(OR(G271="ágazaton kívüli",G271="n.a."),2.2,IF(OR(E271=2,E271=3,E271=4),VLOOKUP(G271,Szakmaszorzók!$B$2:$D$25,2,0),VLOOKUP(G271,Szakmaszorzók!$B$2:$D$25,3,0)))</f>
        <v>2.42</v>
      </c>
      <c r="K271" s="320">
        <f>'Támogatás szorzat tényezői'!$C$2*'Támogatás szorzat tényezői'!$C$5*J271*(H271/1000)</f>
        <v>435600</v>
      </c>
      <c r="L271" s="300"/>
      <c r="M271" s="319">
        <f t="shared" si="4"/>
        <v>8</v>
      </c>
    </row>
    <row r="272" spans="1:13" ht="15.75" hidden="1" customHeight="1" x14ac:dyDescent="0.25">
      <c r="A272" s="319">
        <v>79</v>
      </c>
      <c r="B272" s="298" t="s">
        <v>250</v>
      </c>
      <c r="C272" s="313" t="s">
        <v>2911</v>
      </c>
      <c r="D272" s="317" t="s">
        <v>1283</v>
      </c>
      <c r="E272" s="317" t="s">
        <v>3455</v>
      </c>
      <c r="F272" s="317" t="s">
        <v>3481</v>
      </c>
      <c r="G272" s="299" t="s">
        <v>1282</v>
      </c>
      <c r="H272" s="299">
        <v>400</v>
      </c>
      <c r="I272" s="299">
        <v>500</v>
      </c>
      <c r="J272" s="298">
        <f>IF(OR(G272="ágazaton kívüli",G272="n.a."),2.2,IF(OR(E272=2,E272=3,E272=4),VLOOKUP(G272,Szakmaszorzók!$B$2:$D$25,2,0),VLOOKUP(G272,Szakmaszorzók!$B$2:$D$25,3,0)))</f>
        <v>2.42</v>
      </c>
      <c r="K272" s="320">
        <f>'Támogatás szorzat tényezői'!$C$2*'Támogatás szorzat tényezői'!$C$5*J272*(H272/1000)</f>
        <v>348480</v>
      </c>
      <c r="L272" s="300"/>
      <c r="M272" s="319">
        <f t="shared" si="4"/>
        <v>8</v>
      </c>
    </row>
    <row r="273" spans="1:13" ht="15.75" hidden="1" customHeight="1" x14ac:dyDescent="0.25">
      <c r="A273" s="319">
        <v>80</v>
      </c>
      <c r="B273" s="298" t="s">
        <v>251</v>
      </c>
      <c r="C273" s="313" t="s">
        <v>1688</v>
      </c>
      <c r="D273" s="317" t="s">
        <v>1283</v>
      </c>
      <c r="E273" s="317" t="s">
        <v>3459</v>
      </c>
      <c r="F273" s="317" t="s">
        <v>3460</v>
      </c>
      <c r="G273" s="299" t="s">
        <v>1282</v>
      </c>
      <c r="H273" s="299">
        <v>350</v>
      </c>
      <c r="I273" s="299">
        <v>400</v>
      </c>
      <c r="J273" s="298">
        <f>IF(OR(G273="ágazaton kívüli",G273="n.a."),2.2,IF(OR(E273=2,E273=3,E273=4),VLOOKUP(G273,Szakmaszorzók!$B$2:$D$25,2,0),VLOOKUP(G273,Szakmaszorzók!$B$2:$D$25,3,0)))</f>
        <v>2.42</v>
      </c>
      <c r="K273" s="320">
        <f>'Támogatás szorzat tényezői'!$C$2*'Támogatás szorzat tényezői'!$C$5*J273*(H273/1000)</f>
        <v>304920</v>
      </c>
      <c r="L273" s="300"/>
      <c r="M273" s="319">
        <f t="shared" si="4"/>
        <v>8</v>
      </c>
    </row>
    <row r="274" spans="1:13" ht="15.75" hidden="1" customHeight="1" x14ac:dyDescent="0.25">
      <c r="A274" s="319">
        <v>133</v>
      </c>
      <c r="B274" s="298" t="s">
        <v>2929</v>
      </c>
      <c r="C274" s="313" t="s">
        <v>1648</v>
      </c>
      <c r="D274" s="317" t="s">
        <v>3546</v>
      </c>
      <c r="E274" s="317" t="s">
        <v>3455</v>
      </c>
      <c r="F274" s="317" t="s">
        <v>3481</v>
      </c>
      <c r="G274" s="299" t="s">
        <v>1353</v>
      </c>
      <c r="H274" s="299">
        <v>350</v>
      </c>
      <c r="I274" s="299">
        <v>400</v>
      </c>
      <c r="J274" s="298">
        <f>IF(OR(G274="ágazaton kívüli",G274="n.a."),2.2,IF(OR(E274=2,E274=3,E274=4),VLOOKUP(G274,Szakmaszorzók!$B$2:$D$25,2,0),VLOOKUP(G274,Szakmaszorzók!$B$2:$D$25,3,0)))</f>
        <v>2.2000000000000002</v>
      </c>
      <c r="K274" s="320">
        <f>'Támogatás szorzat tényezői'!$C$2*'Támogatás szorzat tényezői'!$C$5*J274*(H274/1000)</f>
        <v>277200</v>
      </c>
      <c r="L274" s="300"/>
      <c r="M274" s="319">
        <f t="shared" si="4"/>
        <v>8</v>
      </c>
    </row>
    <row r="275" spans="1:13" ht="15.75" hidden="1" customHeight="1" x14ac:dyDescent="0.25">
      <c r="A275" s="319">
        <v>362</v>
      </c>
      <c r="B275" s="298" t="s">
        <v>3109</v>
      </c>
      <c r="C275" s="313" t="s">
        <v>1532</v>
      </c>
      <c r="D275" s="317" t="s">
        <v>1362</v>
      </c>
      <c r="E275" s="317" t="s">
        <v>3458</v>
      </c>
      <c r="F275" s="317" t="s">
        <v>3490</v>
      </c>
      <c r="G275" s="299" t="s">
        <v>1351</v>
      </c>
      <c r="H275" s="299">
        <v>80</v>
      </c>
      <c r="I275" s="299">
        <v>120</v>
      </c>
      <c r="J275" s="298">
        <f>IF(OR(G275="ágazaton kívüli",G275="n.a."),2.2,IF(OR(E275=2,E275=3,E275=4),VLOOKUP(G275,Szakmaszorzók!$B$2:$D$25,2,0),VLOOKUP(G275,Szakmaszorzók!$B$2:$D$25,3,0)))</f>
        <v>2.2000000000000002</v>
      </c>
      <c r="K275" s="320">
        <f>'Támogatás szorzat tényezői'!$C$2*'Támogatás szorzat tényezői'!$C$5*J275*(H275/1000)</f>
        <v>63360.000000000007</v>
      </c>
      <c r="L275" s="300"/>
      <c r="M275" s="319">
        <f t="shared" si="4"/>
        <v>8</v>
      </c>
    </row>
    <row r="276" spans="1:13" ht="15.75" hidden="1" customHeight="1" x14ac:dyDescent="0.25">
      <c r="A276" s="319">
        <v>41</v>
      </c>
      <c r="B276" s="298" t="s">
        <v>254</v>
      </c>
      <c r="C276" s="313" t="s">
        <v>1533</v>
      </c>
      <c r="D276" s="317" t="s">
        <v>1339</v>
      </c>
      <c r="E276" s="317" t="s">
        <v>3455</v>
      </c>
      <c r="F276" s="317" t="s">
        <v>3464</v>
      </c>
      <c r="G276" s="299" t="s">
        <v>1280</v>
      </c>
      <c r="H276" s="299">
        <v>480</v>
      </c>
      <c r="I276" s="299">
        <v>720</v>
      </c>
      <c r="J276" s="298">
        <f>IF(OR(G276="ágazaton kívüli",G276="n.a."),2.2,IF(OR(E276=2,E276=3,E276=4),VLOOKUP(G276,Szakmaszorzók!$B$2:$D$25,2,0),VLOOKUP(G276,Szakmaszorzók!$B$2:$D$25,3,0)))</f>
        <v>2.85</v>
      </c>
      <c r="K276" s="320">
        <f>'Támogatás szorzat tényezői'!$C$2*'Támogatás szorzat tényezői'!$C$5*J276*(H276/1000)</f>
        <v>492480</v>
      </c>
      <c r="L276" s="300"/>
      <c r="M276" s="319">
        <f t="shared" si="4"/>
        <v>8</v>
      </c>
    </row>
    <row r="277" spans="1:13" ht="15.75" hidden="1" customHeight="1" x14ac:dyDescent="0.25">
      <c r="A277" s="319">
        <v>363</v>
      </c>
      <c r="B277" s="298" t="s">
        <v>3112</v>
      </c>
      <c r="C277" s="313" t="s">
        <v>1534</v>
      </c>
      <c r="D277" s="317" t="s">
        <v>1362</v>
      </c>
      <c r="E277" s="317" t="s">
        <v>3459</v>
      </c>
      <c r="F277" s="317" t="s">
        <v>3462</v>
      </c>
      <c r="G277" s="299" t="s">
        <v>1351</v>
      </c>
      <c r="H277" s="299">
        <v>200</v>
      </c>
      <c r="I277" s="299">
        <v>300</v>
      </c>
      <c r="J277" s="298">
        <f>IF(OR(G277="ágazaton kívüli",G277="n.a."),2.2,IF(OR(E277=2,E277=3,E277=4),VLOOKUP(G277,Szakmaszorzók!$B$2:$D$25,2,0),VLOOKUP(G277,Szakmaszorzók!$B$2:$D$25,3,0)))</f>
        <v>2.2000000000000002</v>
      </c>
      <c r="K277" s="320">
        <f>'Támogatás szorzat tényezői'!$C$2*'Támogatás szorzat tényezői'!$C$5*J277*(H277/1000)</f>
        <v>158400.00000000003</v>
      </c>
      <c r="L277" s="300"/>
      <c r="M277" s="319">
        <f t="shared" si="4"/>
        <v>8</v>
      </c>
    </row>
    <row r="278" spans="1:13" ht="15.75" hidden="1" customHeight="1" x14ac:dyDescent="0.25">
      <c r="A278" s="319">
        <v>241</v>
      </c>
      <c r="B278" s="298" t="s">
        <v>2956</v>
      </c>
      <c r="C278" s="313" t="s">
        <v>1619</v>
      </c>
      <c r="D278" s="317" t="s">
        <v>1331</v>
      </c>
      <c r="E278" s="317" t="s">
        <v>3455</v>
      </c>
      <c r="F278" s="317" t="s">
        <v>3471</v>
      </c>
      <c r="G278" s="308" t="s">
        <v>1883</v>
      </c>
      <c r="H278" s="299">
        <v>320</v>
      </c>
      <c r="I278" s="299">
        <v>480</v>
      </c>
      <c r="J278" s="298">
        <f>IF(OR(G278="ágazaton kívüli",G278="n.a."),2.2,IF(OR(E278=2,E278=3,E278=4),VLOOKUP(G278,Szakmaszorzók!$B$2:$D$25,2,0),VLOOKUP(G278,Szakmaszorzók!$B$2:$D$25,3,0)))</f>
        <v>2.2000000000000002</v>
      </c>
      <c r="K278" s="320">
        <f>'Támogatás szorzat tényezői'!$C$2*'Támogatás szorzat tényezői'!$C$5*J278*(H278/1000)</f>
        <v>253440.00000000003</v>
      </c>
      <c r="L278" s="300"/>
      <c r="M278" s="319">
        <f t="shared" si="4"/>
        <v>8</v>
      </c>
    </row>
    <row r="279" spans="1:13" ht="15.75" hidden="1" customHeight="1" x14ac:dyDescent="0.25">
      <c r="A279" s="319">
        <v>242</v>
      </c>
      <c r="B279" s="298" t="s">
        <v>2955</v>
      </c>
      <c r="C279" s="313" t="s">
        <v>1618</v>
      </c>
      <c r="D279" s="317" t="s">
        <v>1331</v>
      </c>
      <c r="E279" s="317" t="s">
        <v>3455</v>
      </c>
      <c r="F279" s="317" t="s">
        <v>3460</v>
      </c>
      <c r="G279" s="308" t="s">
        <v>1883</v>
      </c>
      <c r="H279" s="299">
        <v>320</v>
      </c>
      <c r="I279" s="299">
        <v>480</v>
      </c>
      <c r="J279" s="298">
        <f>IF(OR(G279="ágazaton kívüli",G279="n.a."),2.2,IF(OR(E279=2,E279=3,E279=4),VLOOKUP(G279,Szakmaszorzók!$B$2:$D$25,2,0),VLOOKUP(G279,Szakmaszorzók!$B$2:$D$25,3,0)))</f>
        <v>2.2000000000000002</v>
      </c>
      <c r="K279" s="320">
        <f>'Támogatás szorzat tényezői'!$C$2*'Támogatás szorzat tényezői'!$C$5*J279*(H279/1000)</f>
        <v>253440.00000000003</v>
      </c>
      <c r="L279" s="300"/>
      <c r="M279" s="319">
        <f t="shared" si="4"/>
        <v>8</v>
      </c>
    </row>
    <row r="280" spans="1:13" ht="15.75" hidden="1" customHeight="1" x14ac:dyDescent="0.25">
      <c r="A280" s="319">
        <v>71</v>
      </c>
      <c r="B280" s="298" t="s">
        <v>3519</v>
      </c>
      <c r="C280" s="313" t="s">
        <v>2782</v>
      </c>
      <c r="D280" s="317" t="s">
        <v>1972</v>
      </c>
      <c r="E280" s="317" t="s">
        <v>3459</v>
      </c>
      <c r="F280" s="317" t="s">
        <v>3464</v>
      </c>
      <c r="G280" s="299" t="s">
        <v>1285</v>
      </c>
      <c r="H280" s="299">
        <v>300</v>
      </c>
      <c r="I280" s="299">
        <v>330</v>
      </c>
      <c r="J280" s="298">
        <f>IF(OR(G280="ágazaton kívüli",G280="n.a."),2.2,IF(OR(E280=2,E280=3,E280=4),VLOOKUP(G280,Szakmaszorzók!$B$2:$D$25,2,0),VLOOKUP(G280,Szakmaszorzók!$B$2:$D$25,3,0)))</f>
        <v>2.2000000000000002</v>
      </c>
      <c r="K280" s="320">
        <f>'Támogatás szorzat tényezői'!$C$2*'Támogatás szorzat tényezői'!$C$5*J280*(H280/1000)</f>
        <v>237600.00000000003</v>
      </c>
      <c r="L280" s="300"/>
      <c r="M280" s="319">
        <f t="shared" si="4"/>
        <v>8</v>
      </c>
    </row>
    <row r="281" spans="1:13" ht="15.75" hidden="1" customHeight="1" x14ac:dyDescent="0.25">
      <c r="A281" s="319">
        <v>243</v>
      </c>
      <c r="B281" s="298" t="s">
        <v>3629</v>
      </c>
      <c r="C281" s="313" t="s">
        <v>1620</v>
      </c>
      <c r="D281" s="317" t="s">
        <v>1360</v>
      </c>
      <c r="E281" s="317" t="s">
        <v>3455</v>
      </c>
      <c r="F281" s="317" t="s">
        <v>3467</v>
      </c>
      <c r="G281" s="299" t="s">
        <v>1298</v>
      </c>
      <c r="H281" s="299">
        <v>180</v>
      </c>
      <c r="I281" s="299">
        <v>200</v>
      </c>
      <c r="J281" s="298">
        <f>IF(OR(G281="ágazaton kívüli",G281="n.a."),2.2,IF(OR(E281=2,E281=3,E281=4),VLOOKUP(G281,Szakmaszorzók!$B$2:$D$25,2,0),VLOOKUP(G281,Szakmaszorzók!$B$2:$D$25,3,0)))</f>
        <v>2.42</v>
      </c>
      <c r="K281" s="320">
        <f>'Támogatás szorzat tényezői'!$C$2*'Támogatás szorzat tényezői'!$C$5*J281*(H281/1000)</f>
        <v>156816</v>
      </c>
      <c r="L281" s="300"/>
      <c r="M281" s="319">
        <f t="shared" si="4"/>
        <v>8</v>
      </c>
    </row>
    <row r="282" spans="1:13" ht="15.75" hidden="1" customHeight="1" x14ac:dyDescent="0.25">
      <c r="A282" s="319">
        <v>244</v>
      </c>
      <c r="B282" s="298" t="s">
        <v>2957</v>
      </c>
      <c r="C282" s="313" t="s">
        <v>1535</v>
      </c>
      <c r="D282" s="317" t="s">
        <v>1360</v>
      </c>
      <c r="E282" s="317" t="s">
        <v>3458</v>
      </c>
      <c r="F282" s="317" t="s">
        <v>3464</v>
      </c>
      <c r="G282" s="308" t="s">
        <v>1883</v>
      </c>
      <c r="H282" s="299">
        <v>100</v>
      </c>
      <c r="I282" s="299">
        <v>150</v>
      </c>
      <c r="J282" s="298">
        <f>IF(OR(G282="ágazaton kívüli",G282="n.a."),2.2,IF(OR(E282=2,E282=3,E282=4),VLOOKUP(G282,Szakmaszorzók!$B$2:$D$25,2,0),VLOOKUP(G282,Szakmaszorzók!$B$2:$D$25,3,0)))</f>
        <v>2.2000000000000002</v>
      </c>
      <c r="K282" s="320">
        <f>'Támogatás szorzat tényezői'!$C$2*'Támogatás szorzat tényezői'!$C$5*J282*(H282/1000)</f>
        <v>79200.000000000015</v>
      </c>
      <c r="L282" s="300"/>
      <c r="M282" s="319">
        <f t="shared" si="4"/>
        <v>8</v>
      </c>
    </row>
    <row r="283" spans="1:13" ht="15.75" hidden="1" customHeight="1" x14ac:dyDescent="0.25">
      <c r="A283" s="319">
        <v>245</v>
      </c>
      <c r="B283" s="298" t="s">
        <v>3630</v>
      </c>
      <c r="C283" s="313" t="s">
        <v>1536</v>
      </c>
      <c r="D283" s="317" t="s">
        <v>1360</v>
      </c>
      <c r="E283" s="317" t="s">
        <v>3458</v>
      </c>
      <c r="F283" s="317" t="s">
        <v>3462</v>
      </c>
      <c r="G283" s="308" t="s">
        <v>1883</v>
      </c>
      <c r="H283" s="299">
        <v>800</v>
      </c>
      <c r="I283" s="299">
        <v>1000</v>
      </c>
      <c r="J283" s="298">
        <f>IF(OR(G283="ágazaton kívüli",G283="n.a."),2.2,IF(OR(E283=2,E283=3,E283=4),VLOOKUP(G283,Szakmaszorzók!$B$2:$D$25,2,0),VLOOKUP(G283,Szakmaszorzók!$B$2:$D$25,3,0)))</f>
        <v>2.2000000000000002</v>
      </c>
      <c r="K283" s="320">
        <f>'Támogatás szorzat tényezői'!$C$2*'Támogatás szorzat tényezői'!$C$5*J283*(H283/1000)</f>
        <v>633600.00000000012</v>
      </c>
      <c r="L283" s="300"/>
      <c r="M283" s="319">
        <f t="shared" si="4"/>
        <v>8</v>
      </c>
    </row>
    <row r="284" spans="1:13" ht="15.75" hidden="1" customHeight="1" x14ac:dyDescent="0.25">
      <c r="A284" s="319">
        <v>246</v>
      </c>
      <c r="B284" s="298" t="s">
        <v>3631</v>
      </c>
      <c r="C284" s="313" t="s">
        <v>1537</v>
      </c>
      <c r="D284" s="317" t="s">
        <v>1360</v>
      </c>
      <c r="E284" s="317" t="s">
        <v>3458</v>
      </c>
      <c r="F284" s="317" t="s">
        <v>3490</v>
      </c>
      <c r="G284" s="308" t="s">
        <v>1883</v>
      </c>
      <c r="H284" s="299">
        <v>800</v>
      </c>
      <c r="I284" s="299">
        <v>1000</v>
      </c>
      <c r="J284" s="298">
        <f>IF(OR(G284="ágazaton kívüli",G284="n.a."),2.2,IF(OR(E284=2,E284=3,E284=4),VLOOKUP(G284,Szakmaszorzók!$B$2:$D$25,2,0),VLOOKUP(G284,Szakmaszorzók!$B$2:$D$25,3,0)))</f>
        <v>2.2000000000000002</v>
      </c>
      <c r="K284" s="320">
        <f>'Támogatás szorzat tényezői'!$C$2*'Támogatás szorzat tényezői'!$C$5*J284*(H284/1000)</f>
        <v>633600.00000000012</v>
      </c>
      <c r="L284" s="300"/>
      <c r="M284" s="319">
        <f t="shared" si="4"/>
        <v>8</v>
      </c>
    </row>
    <row r="285" spans="1:13" ht="15.75" hidden="1" customHeight="1" x14ac:dyDescent="0.25">
      <c r="A285" s="319">
        <v>247</v>
      </c>
      <c r="B285" s="298" t="s">
        <v>2962</v>
      </c>
      <c r="C285" s="313" t="s">
        <v>1538</v>
      </c>
      <c r="D285" s="317" t="s">
        <v>1360</v>
      </c>
      <c r="E285" s="317" t="s">
        <v>3458</v>
      </c>
      <c r="F285" s="317" t="s">
        <v>3480</v>
      </c>
      <c r="G285" s="308" t="s">
        <v>1883</v>
      </c>
      <c r="H285" s="299">
        <v>800</v>
      </c>
      <c r="I285" s="299">
        <v>1000</v>
      </c>
      <c r="J285" s="298">
        <f>IF(OR(G285="ágazaton kívüli",G285="n.a."),2.2,IF(OR(E285=2,E285=3,E285=4),VLOOKUP(G285,Szakmaszorzók!$B$2:$D$25,2,0),VLOOKUP(G285,Szakmaszorzók!$B$2:$D$25,3,0)))</f>
        <v>2.2000000000000002</v>
      </c>
      <c r="K285" s="320">
        <f>'Támogatás szorzat tényezői'!$C$2*'Támogatás szorzat tényezői'!$C$5*J285*(H285/1000)</f>
        <v>633600.00000000012</v>
      </c>
      <c r="L285" s="300"/>
      <c r="M285" s="319">
        <f t="shared" si="4"/>
        <v>8</v>
      </c>
    </row>
    <row r="286" spans="1:13" ht="15.75" hidden="1" customHeight="1" x14ac:dyDescent="0.25">
      <c r="A286" s="319">
        <v>248</v>
      </c>
      <c r="B286" s="298" t="s">
        <v>2959</v>
      </c>
      <c r="C286" s="313" t="s">
        <v>1539</v>
      </c>
      <c r="D286" s="317" t="s">
        <v>1360</v>
      </c>
      <c r="E286" s="317" t="s">
        <v>3458</v>
      </c>
      <c r="F286" s="317" t="s">
        <v>3505</v>
      </c>
      <c r="G286" s="308" t="s">
        <v>1883</v>
      </c>
      <c r="H286" s="299">
        <v>800</v>
      </c>
      <c r="I286" s="299">
        <v>1000</v>
      </c>
      <c r="J286" s="298">
        <f>IF(OR(G286="ágazaton kívüli",G286="n.a."),2.2,IF(OR(E286=2,E286=3,E286=4),VLOOKUP(G286,Szakmaszorzók!$B$2:$D$25,2,0),VLOOKUP(G286,Szakmaszorzók!$B$2:$D$25,3,0)))</f>
        <v>2.2000000000000002</v>
      </c>
      <c r="K286" s="320">
        <f>'Támogatás szorzat tényezői'!$C$2*'Támogatás szorzat tényezői'!$C$5*J286*(H286/1000)</f>
        <v>633600.00000000012</v>
      </c>
      <c r="L286" s="300"/>
      <c r="M286" s="319">
        <f t="shared" si="4"/>
        <v>8</v>
      </c>
    </row>
    <row r="287" spans="1:13" ht="15.75" hidden="1" customHeight="1" x14ac:dyDescent="0.25">
      <c r="A287" s="319">
        <v>249</v>
      </c>
      <c r="B287" s="298" t="s">
        <v>2963</v>
      </c>
      <c r="C287" s="313" t="s">
        <v>1549</v>
      </c>
      <c r="D287" s="317" t="s">
        <v>1360</v>
      </c>
      <c r="E287" s="317" t="s">
        <v>3458</v>
      </c>
      <c r="F287" s="317" t="s">
        <v>3461</v>
      </c>
      <c r="G287" s="308" t="s">
        <v>1883</v>
      </c>
      <c r="H287" s="299">
        <v>800</v>
      </c>
      <c r="I287" s="299">
        <v>1000</v>
      </c>
      <c r="J287" s="298">
        <f>IF(OR(G287="ágazaton kívüli",G287="n.a."),2.2,IF(OR(E287=2,E287=3,E287=4),VLOOKUP(G287,Szakmaszorzók!$B$2:$D$25,2,0),VLOOKUP(G287,Szakmaszorzók!$B$2:$D$25,3,0)))</f>
        <v>2.2000000000000002</v>
      </c>
      <c r="K287" s="320">
        <f>'Támogatás szorzat tényezői'!$C$2*'Támogatás szorzat tényezői'!$C$5*J287*(H287/1000)</f>
        <v>633600.00000000012</v>
      </c>
      <c r="L287" s="300"/>
      <c r="M287" s="319">
        <f t="shared" si="4"/>
        <v>8</v>
      </c>
    </row>
    <row r="288" spans="1:13" ht="15.75" hidden="1" customHeight="1" x14ac:dyDescent="0.25">
      <c r="A288" s="319">
        <v>250</v>
      </c>
      <c r="B288" s="298" t="s">
        <v>3632</v>
      </c>
      <c r="C288" s="313" t="s">
        <v>1540</v>
      </c>
      <c r="D288" s="317" t="s">
        <v>1360</v>
      </c>
      <c r="E288" s="317" t="s">
        <v>3458</v>
      </c>
      <c r="F288" s="317" t="s">
        <v>3460</v>
      </c>
      <c r="G288" s="308" t="s">
        <v>1883</v>
      </c>
      <c r="H288" s="299">
        <v>800</v>
      </c>
      <c r="I288" s="299">
        <v>1000</v>
      </c>
      <c r="J288" s="298">
        <f>IF(OR(G288="ágazaton kívüli",G288="n.a."),2.2,IF(OR(E288=2,E288=3,E288=4),VLOOKUP(G288,Szakmaszorzók!$B$2:$D$25,2,0),VLOOKUP(G288,Szakmaszorzók!$B$2:$D$25,3,0)))</f>
        <v>2.2000000000000002</v>
      </c>
      <c r="K288" s="320">
        <f>'Támogatás szorzat tényezői'!$C$2*'Támogatás szorzat tényezői'!$C$5*J288*(H288/1000)</f>
        <v>633600.00000000012</v>
      </c>
      <c r="L288" s="300"/>
      <c r="M288" s="319">
        <f t="shared" si="4"/>
        <v>8</v>
      </c>
    </row>
    <row r="289" spans="1:13" ht="15.75" hidden="1" customHeight="1" x14ac:dyDescent="0.25">
      <c r="A289" s="319">
        <v>251</v>
      </c>
      <c r="B289" s="298" t="s">
        <v>3633</v>
      </c>
      <c r="C289" s="313" t="s">
        <v>1541</v>
      </c>
      <c r="D289" s="317" t="s">
        <v>1360</v>
      </c>
      <c r="E289" s="317" t="s">
        <v>3527</v>
      </c>
      <c r="F289" s="317" t="s">
        <v>3456</v>
      </c>
      <c r="G289" s="308" t="s">
        <v>1883</v>
      </c>
      <c r="H289" s="299">
        <v>480</v>
      </c>
      <c r="I289" s="299">
        <v>720</v>
      </c>
      <c r="J289" s="298">
        <f>IF(OR(G289="ágazaton kívüli",G289="n.a."),2.2,IF(OR(E289=2,E289=3,E289=4),VLOOKUP(G289,Szakmaszorzók!$B$2:$D$25,2,0),VLOOKUP(G289,Szakmaszorzók!$B$2:$D$25,3,0)))</f>
        <v>2.2000000000000002</v>
      </c>
      <c r="K289" s="320">
        <f>'Támogatás szorzat tényezői'!$C$2*'Támogatás szorzat tényezői'!$C$5*J289*(H289/1000)</f>
        <v>380160.00000000006</v>
      </c>
      <c r="L289" s="300"/>
      <c r="M289" s="319">
        <f t="shared" si="4"/>
        <v>8</v>
      </c>
    </row>
    <row r="290" spans="1:13" ht="15.75" hidden="1" customHeight="1" x14ac:dyDescent="0.25">
      <c r="A290" s="319">
        <v>252</v>
      </c>
      <c r="B290" s="298" t="s">
        <v>2958</v>
      </c>
      <c r="C290" s="313" t="s">
        <v>1542</v>
      </c>
      <c r="D290" s="317" t="s">
        <v>1360</v>
      </c>
      <c r="E290" s="317" t="s">
        <v>3458</v>
      </c>
      <c r="F290" s="317" t="s">
        <v>3481</v>
      </c>
      <c r="G290" s="308" t="s">
        <v>1883</v>
      </c>
      <c r="H290" s="299">
        <v>800</v>
      </c>
      <c r="I290" s="299">
        <v>1000</v>
      </c>
      <c r="J290" s="298">
        <f>IF(OR(G290="ágazaton kívüli",G290="n.a."),2.2,IF(OR(E290=2,E290=3,E290=4),VLOOKUP(G290,Szakmaszorzók!$B$2:$D$25,2,0),VLOOKUP(G290,Szakmaszorzók!$B$2:$D$25,3,0)))</f>
        <v>2.2000000000000002</v>
      </c>
      <c r="K290" s="320">
        <f>'Támogatás szorzat tényezői'!$C$2*'Támogatás szorzat tényezői'!$C$5*J290*(H290/1000)</f>
        <v>633600.00000000012</v>
      </c>
      <c r="L290" s="300"/>
      <c r="M290" s="319">
        <f t="shared" si="4"/>
        <v>8</v>
      </c>
    </row>
    <row r="291" spans="1:13" ht="15.75" hidden="1" customHeight="1" x14ac:dyDescent="0.25">
      <c r="A291" s="319">
        <v>253</v>
      </c>
      <c r="B291" s="298" t="s">
        <v>2960</v>
      </c>
      <c r="C291" s="313" t="s">
        <v>1543</v>
      </c>
      <c r="D291" s="317" t="s">
        <v>1360</v>
      </c>
      <c r="E291" s="317" t="s">
        <v>3458</v>
      </c>
      <c r="F291" s="317" t="s">
        <v>3502</v>
      </c>
      <c r="G291" s="308" t="s">
        <v>1883</v>
      </c>
      <c r="H291" s="299">
        <v>800</v>
      </c>
      <c r="I291" s="299">
        <v>1000</v>
      </c>
      <c r="J291" s="298">
        <f>IF(OR(G291="ágazaton kívüli",G291="n.a."),2.2,IF(OR(E291=2,E291=3,E291=4),VLOOKUP(G291,Szakmaszorzók!$B$2:$D$25,2,0),VLOOKUP(G291,Szakmaszorzók!$B$2:$D$25,3,0)))</f>
        <v>2.2000000000000002</v>
      </c>
      <c r="K291" s="320">
        <f>'Támogatás szorzat tényezői'!$C$2*'Támogatás szorzat tényezői'!$C$5*J291*(H291/1000)</f>
        <v>633600.00000000012</v>
      </c>
      <c r="L291" s="300"/>
      <c r="M291" s="319">
        <f t="shared" si="4"/>
        <v>8</v>
      </c>
    </row>
    <row r="292" spans="1:13" ht="15.75" hidden="1" customHeight="1" x14ac:dyDescent="0.25">
      <c r="A292" s="319">
        <v>254</v>
      </c>
      <c r="B292" s="298" t="s">
        <v>2964</v>
      </c>
      <c r="C292" s="313" t="s">
        <v>1544</v>
      </c>
      <c r="D292" s="317" t="s">
        <v>1360</v>
      </c>
      <c r="E292" s="317" t="s">
        <v>3458</v>
      </c>
      <c r="F292" s="317" t="s">
        <v>3471</v>
      </c>
      <c r="G292" s="308" t="s">
        <v>1883</v>
      </c>
      <c r="H292" s="299">
        <v>800</v>
      </c>
      <c r="I292" s="299">
        <v>1000</v>
      </c>
      <c r="J292" s="298">
        <f>IF(OR(G292="ágazaton kívüli",G292="n.a."),2.2,IF(OR(E292=2,E292=3,E292=4),VLOOKUP(G292,Szakmaszorzók!$B$2:$D$25,2,0),VLOOKUP(G292,Szakmaszorzók!$B$2:$D$25,3,0)))</f>
        <v>2.2000000000000002</v>
      </c>
      <c r="K292" s="320">
        <f>'Támogatás szorzat tényezői'!$C$2*'Támogatás szorzat tényezői'!$C$5*J292*(H292/1000)</f>
        <v>633600.00000000012</v>
      </c>
      <c r="L292" s="300"/>
      <c r="M292" s="319">
        <f t="shared" si="4"/>
        <v>8</v>
      </c>
    </row>
    <row r="293" spans="1:13" ht="15.75" hidden="1" customHeight="1" x14ac:dyDescent="0.25">
      <c r="A293" s="319">
        <v>255</v>
      </c>
      <c r="B293" s="298" t="s">
        <v>2965</v>
      </c>
      <c r="C293" s="313" t="s">
        <v>1545</v>
      </c>
      <c r="D293" s="317" t="s">
        <v>1360</v>
      </c>
      <c r="E293" s="317" t="s">
        <v>3458</v>
      </c>
      <c r="F293" s="317" t="s">
        <v>3483</v>
      </c>
      <c r="G293" s="308" t="s">
        <v>1883</v>
      </c>
      <c r="H293" s="299">
        <v>800</v>
      </c>
      <c r="I293" s="299">
        <v>1000</v>
      </c>
      <c r="J293" s="298">
        <f>IF(OR(G293="ágazaton kívüli",G293="n.a."),2.2,IF(OR(E293=2,E293=3,E293=4),VLOOKUP(G293,Szakmaszorzók!$B$2:$D$25,2,0),VLOOKUP(G293,Szakmaszorzók!$B$2:$D$25,3,0)))</f>
        <v>2.2000000000000002</v>
      </c>
      <c r="K293" s="320">
        <f>'Támogatás szorzat tényezői'!$C$2*'Támogatás szorzat tényezői'!$C$5*J293*(H293/1000)</f>
        <v>633600.00000000012</v>
      </c>
      <c r="L293" s="300"/>
      <c r="M293" s="319">
        <f t="shared" si="4"/>
        <v>8</v>
      </c>
    </row>
    <row r="294" spans="1:13" ht="15.75" hidden="1" customHeight="1" x14ac:dyDescent="0.25">
      <c r="A294" s="319">
        <v>256</v>
      </c>
      <c r="B294" s="298" t="s">
        <v>2961</v>
      </c>
      <c r="C294" s="313" t="s">
        <v>1546</v>
      </c>
      <c r="D294" s="317" t="s">
        <v>1360</v>
      </c>
      <c r="E294" s="317" t="s">
        <v>3458</v>
      </c>
      <c r="F294" s="317" t="s">
        <v>3484</v>
      </c>
      <c r="G294" s="308" t="s">
        <v>1883</v>
      </c>
      <c r="H294" s="299">
        <v>800</v>
      </c>
      <c r="I294" s="299">
        <v>1000</v>
      </c>
      <c r="J294" s="298">
        <f>IF(OR(G294="ágazaton kívüli",G294="n.a."),2.2,IF(OR(E294=2,E294=3,E294=4),VLOOKUP(G294,Szakmaszorzók!$B$2:$D$25,2,0),VLOOKUP(G294,Szakmaszorzók!$B$2:$D$25,3,0)))</f>
        <v>2.2000000000000002</v>
      </c>
      <c r="K294" s="320">
        <f>'Támogatás szorzat tényezői'!$C$2*'Támogatás szorzat tényezői'!$C$5*J294*(H294/1000)</f>
        <v>633600.00000000012</v>
      </c>
      <c r="L294" s="300"/>
      <c r="M294" s="319">
        <f t="shared" si="4"/>
        <v>8</v>
      </c>
    </row>
    <row r="295" spans="1:13" ht="15.75" hidden="1" customHeight="1" x14ac:dyDescent="0.25">
      <c r="A295" s="319">
        <v>257</v>
      </c>
      <c r="B295" s="298" t="s">
        <v>2966</v>
      </c>
      <c r="C295" s="313" t="s">
        <v>1547</v>
      </c>
      <c r="D295" s="317" t="s">
        <v>1360</v>
      </c>
      <c r="E295" s="317" t="s">
        <v>3458</v>
      </c>
      <c r="F295" s="317" t="s">
        <v>3473</v>
      </c>
      <c r="G295" s="308" t="s">
        <v>1883</v>
      </c>
      <c r="H295" s="299">
        <v>800</v>
      </c>
      <c r="I295" s="299">
        <v>1000</v>
      </c>
      <c r="J295" s="298">
        <f>IF(OR(G295="ágazaton kívüli",G295="n.a."),2.2,IF(OR(E295=2,E295=3,E295=4),VLOOKUP(G295,Szakmaszorzók!$B$2:$D$25,2,0),VLOOKUP(G295,Szakmaszorzók!$B$2:$D$25,3,0)))</f>
        <v>2.2000000000000002</v>
      </c>
      <c r="K295" s="320">
        <f>'Támogatás szorzat tényezői'!$C$2*'Támogatás szorzat tényezői'!$C$5*J295*(H295/1000)</f>
        <v>633600.00000000012</v>
      </c>
      <c r="L295" s="300"/>
      <c r="M295" s="319">
        <f t="shared" si="4"/>
        <v>8</v>
      </c>
    </row>
    <row r="296" spans="1:13" ht="15.75" hidden="1" customHeight="1" x14ac:dyDescent="0.25">
      <c r="A296" s="319">
        <v>258</v>
      </c>
      <c r="B296" s="298" t="s">
        <v>2967</v>
      </c>
      <c r="C296" s="313" t="s">
        <v>1548</v>
      </c>
      <c r="D296" s="317" t="s">
        <v>1360</v>
      </c>
      <c r="E296" s="317" t="s">
        <v>3458</v>
      </c>
      <c r="F296" s="317" t="s">
        <v>3477</v>
      </c>
      <c r="G296" s="308" t="s">
        <v>1883</v>
      </c>
      <c r="H296" s="299">
        <v>800</v>
      </c>
      <c r="I296" s="299">
        <v>1000</v>
      </c>
      <c r="J296" s="298">
        <f>IF(OR(G296="ágazaton kívüli",G296="n.a."),2.2,IF(OR(E296=2,E296=3,E296=4),VLOOKUP(G296,Szakmaszorzók!$B$2:$D$25,2,0),VLOOKUP(G296,Szakmaszorzók!$B$2:$D$25,3,0)))</f>
        <v>2.2000000000000002</v>
      </c>
      <c r="K296" s="320">
        <f>'Támogatás szorzat tényezői'!$C$2*'Támogatás szorzat tényezői'!$C$5*J296*(H296/1000)</f>
        <v>633600.00000000012</v>
      </c>
      <c r="L296" s="300"/>
      <c r="M296" s="319">
        <f t="shared" si="4"/>
        <v>8</v>
      </c>
    </row>
    <row r="297" spans="1:13" ht="15.75" hidden="1" customHeight="1" x14ac:dyDescent="0.25">
      <c r="A297" s="319">
        <v>259</v>
      </c>
      <c r="B297" s="298" t="s">
        <v>3634</v>
      </c>
      <c r="C297" s="313" t="s">
        <v>1550</v>
      </c>
      <c r="D297" s="317" t="s">
        <v>3564</v>
      </c>
      <c r="E297" s="317" t="s">
        <v>3455</v>
      </c>
      <c r="F297" s="317" t="s">
        <v>3635</v>
      </c>
      <c r="G297" s="308" t="s">
        <v>1883</v>
      </c>
      <c r="H297" s="299">
        <v>620</v>
      </c>
      <c r="I297" s="299">
        <v>1085</v>
      </c>
      <c r="J297" s="298">
        <f>IF(OR(G297="ágazaton kívüli",G297="n.a."),2.2,IF(OR(E297=2,E297=3,E297=4),VLOOKUP(G297,Szakmaszorzók!$B$2:$D$25,2,0),VLOOKUP(G297,Szakmaszorzók!$B$2:$D$25,3,0)))</f>
        <v>2.2000000000000002</v>
      </c>
      <c r="K297" s="320">
        <f>'Támogatás szorzat tényezői'!$C$2*'Támogatás szorzat tényezői'!$C$5*J297*(H297/1000)</f>
        <v>491040.00000000006</v>
      </c>
      <c r="L297" s="300"/>
      <c r="M297" s="319">
        <f t="shared" si="4"/>
        <v>8</v>
      </c>
    </row>
    <row r="298" spans="1:13" ht="15.75" hidden="1" customHeight="1" x14ac:dyDescent="0.25">
      <c r="A298" s="319">
        <v>260</v>
      </c>
      <c r="B298" s="298" t="s">
        <v>3636</v>
      </c>
      <c r="C298" s="313" t="s">
        <v>1551</v>
      </c>
      <c r="D298" s="317" t="s">
        <v>3564</v>
      </c>
      <c r="E298" s="317" t="s">
        <v>3455</v>
      </c>
      <c r="F298" s="317" t="s">
        <v>3637</v>
      </c>
      <c r="G298" s="308" t="s">
        <v>1883</v>
      </c>
      <c r="H298" s="299">
        <v>620</v>
      </c>
      <c r="I298" s="299">
        <v>1085</v>
      </c>
      <c r="J298" s="298">
        <f>IF(OR(G298="ágazaton kívüli",G298="n.a."),2.2,IF(OR(E298=2,E298=3,E298=4),VLOOKUP(G298,Szakmaszorzók!$B$2:$D$25,2,0),VLOOKUP(G298,Szakmaszorzók!$B$2:$D$25,3,0)))</f>
        <v>2.2000000000000002</v>
      </c>
      <c r="K298" s="320">
        <f>'Támogatás szorzat tényezői'!$C$2*'Támogatás szorzat tényezői'!$C$5*J298*(H298/1000)</f>
        <v>491040.00000000006</v>
      </c>
      <c r="L298" s="300"/>
      <c r="M298" s="319">
        <f t="shared" si="4"/>
        <v>8</v>
      </c>
    </row>
    <row r="299" spans="1:13" ht="15.75" hidden="1" customHeight="1" x14ac:dyDescent="0.25">
      <c r="A299" s="319">
        <v>261</v>
      </c>
      <c r="B299" s="298" t="s">
        <v>3027</v>
      </c>
      <c r="C299" s="313" t="s">
        <v>1552</v>
      </c>
      <c r="D299" s="317" t="s">
        <v>3564</v>
      </c>
      <c r="E299" s="317" t="s">
        <v>3455</v>
      </c>
      <c r="F299" s="317" t="s">
        <v>3638</v>
      </c>
      <c r="G299" s="308" t="s">
        <v>1883</v>
      </c>
      <c r="H299" s="299">
        <v>620</v>
      </c>
      <c r="I299" s="299">
        <v>1085</v>
      </c>
      <c r="J299" s="298">
        <f>IF(OR(G299="ágazaton kívüli",G299="n.a."),2.2,IF(OR(E299=2,E299=3,E299=4),VLOOKUP(G299,Szakmaszorzók!$B$2:$D$25,2,0),VLOOKUP(G299,Szakmaszorzók!$B$2:$D$25,3,0)))</f>
        <v>2.2000000000000002</v>
      </c>
      <c r="K299" s="320">
        <f>'Támogatás szorzat tényezői'!$C$2*'Támogatás szorzat tényezői'!$C$5*J299*(H299/1000)</f>
        <v>491040.00000000006</v>
      </c>
      <c r="L299" s="300"/>
      <c r="M299" s="319">
        <f t="shared" si="4"/>
        <v>8</v>
      </c>
    </row>
    <row r="300" spans="1:13" ht="15.75" hidden="1" customHeight="1" x14ac:dyDescent="0.25">
      <c r="A300" s="319">
        <v>262</v>
      </c>
      <c r="B300" s="298" t="s">
        <v>3639</v>
      </c>
      <c r="C300" s="313" t="s">
        <v>1553</v>
      </c>
      <c r="D300" s="317" t="s">
        <v>3564</v>
      </c>
      <c r="E300" s="317" t="s">
        <v>3455</v>
      </c>
      <c r="F300" s="317" t="s">
        <v>3640</v>
      </c>
      <c r="G300" s="308" t="s">
        <v>1883</v>
      </c>
      <c r="H300" s="299">
        <v>620</v>
      </c>
      <c r="I300" s="299">
        <v>1085</v>
      </c>
      <c r="J300" s="298">
        <f>IF(OR(G300="ágazaton kívüli",G300="n.a."),2.2,IF(OR(E300=2,E300=3,E300=4),VLOOKUP(G300,Szakmaszorzók!$B$2:$D$25,2,0),VLOOKUP(G300,Szakmaszorzók!$B$2:$D$25,3,0)))</f>
        <v>2.2000000000000002</v>
      </c>
      <c r="K300" s="320">
        <f>'Támogatás szorzat tényezői'!$C$2*'Támogatás szorzat tényezői'!$C$5*J300*(H300/1000)</f>
        <v>491040.00000000006</v>
      </c>
      <c r="L300" s="300"/>
      <c r="M300" s="319">
        <f t="shared" si="4"/>
        <v>8</v>
      </c>
    </row>
    <row r="301" spans="1:13" ht="15.75" hidden="1" customHeight="1" x14ac:dyDescent="0.25">
      <c r="A301" s="319">
        <v>263</v>
      </c>
      <c r="B301" s="298" t="s">
        <v>3028</v>
      </c>
      <c r="C301" s="313" t="s">
        <v>1554</v>
      </c>
      <c r="D301" s="317" t="s">
        <v>3564</v>
      </c>
      <c r="E301" s="317" t="s">
        <v>3455</v>
      </c>
      <c r="F301" s="317" t="s">
        <v>3641</v>
      </c>
      <c r="G301" s="308" t="s">
        <v>1883</v>
      </c>
      <c r="H301" s="299">
        <v>620</v>
      </c>
      <c r="I301" s="299">
        <v>1085</v>
      </c>
      <c r="J301" s="298">
        <f>IF(OR(G301="ágazaton kívüli",G301="n.a."),2.2,IF(OR(E301=2,E301=3,E301=4),VLOOKUP(G301,Szakmaszorzók!$B$2:$D$25,2,0),VLOOKUP(G301,Szakmaszorzók!$B$2:$D$25,3,0)))</f>
        <v>2.2000000000000002</v>
      </c>
      <c r="K301" s="320">
        <f>'Támogatás szorzat tényezői'!$C$2*'Támogatás szorzat tényezői'!$C$5*J301*(H301/1000)</f>
        <v>491040.00000000006</v>
      </c>
      <c r="L301" s="300"/>
      <c r="M301" s="319">
        <f t="shared" si="4"/>
        <v>8</v>
      </c>
    </row>
    <row r="302" spans="1:13" ht="15.75" hidden="1" customHeight="1" x14ac:dyDescent="0.25">
      <c r="A302" s="319">
        <v>264</v>
      </c>
      <c r="B302" s="298" t="s">
        <v>3642</v>
      </c>
      <c r="C302" s="313" t="s">
        <v>1555</v>
      </c>
      <c r="D302" s="317" t="s">
        <v>3564</v>
      </c>
      <c r="E302" s="317" t="s">
        <v>3459</v>
      </c>
      <c r="F302" s="317" t="s">
        <v>3643</v>
      </c>
      <c r="G302" s="308" t="s">
        <v>1883</v>
      </c>
      <c r="H302" s="299">
        <v>1725</v>
      </c>
      <c r="I302" s="299">
        <v>2200</v>
      </c>
      <c r="J302" s="298">
        <f>IF(OR(G302="ágazaton kívüli",G302="n.a."),2.2,IF(OR(E302=2,E302=3,E302=4),VLOOKUP(G302,Szakmaszorzók!$B$2:$D$25,2,0),VLOOKUP(G302,Szakmaszorzók!$B$2:$D$25,3,0)))</f>
        <v>2.2000000000000002</v>
      </c>
      <c r="K302" s="320">
        <f>'Támogatás szorzat tényezői'!$C$2*'Támogatás szorzat tényezői'!$C$5*J302*(H302/1000)</f>
        <v>1366200.0000000002</v>
      </c>
      <c r="L302" s="300"/>
      <c r="M302" s="319">
        <f t="shared" si="4"/>
        <v>8</v>
      </c>
    </row>
    <row r="303" spans="1:13" ht="15.75" hidden="1" customHeight="1" x14ac:dyDescent="0.25">
      <c r="A303" s="319">
        <v>265</v>
      </c>
      <c r="B303" s="298" t="s">
        <v>3644</v>
      </c>
      <c r="C303" s="313" t="s">
        <v>1556</v>
      </c>
      <c r="D303" s="317" t="s">
        <v>3564</v>
      </c>
      <c r="E303" s="317" t="s">
        <v>3459</v>
      </c>
      <c r="F303" s="317" t="s">
        <v>3645</v>
      </c>
      <c r="G303" s="308" t="s">
        <v>1883</v>
      </c>
      <c r="H303" s="299">
        <v>1725</v>
      </c>
      <c r="I303" s="299">
        <v>2200</v>
      </c>
      <c r="J303" s="298">
        <f>IF(OR(G303="ágazaton kívüli",G303="n.a."),2.2,IF(OR(E303=2,E303=3,E303=4),VLOOKUP(G303,Szakmaszorzók!$B$2:$D$25,2,0),VLOOKUP(G303,Szakmaszorzók!$B$2:$D$25,3,0)))</f>
        <v>2.2000000000000002</v>
      </c>
      <c r="K303" s="320">
        <f>'Támogatás szorzat tényezői'!$C$2*'Támogatás szorzat tényezői'!$C$5*J303*(H303/1000)</f>
        <v>1366200.0000000002</v>
      </c>
      <c r="L303" s="300"/>
      <c r="M303" s="319">
        <f t="shared" si="4"/>
        <v>8</v>
      </c>
    </row>
    <row r="304" spans="1:13" ht="15.75" hidden="1" customHeight="1" x14ac:dyDescent="0.25">
      <c r="A304" s="319">
        <v>266</v>
      </c>
      <c r="B304" s="298" t="s">
        <v>3646</v>
      </c>
      <c r="C304" s="313" t="s">
        <v>1557</v>
      </c>
      <c r="D304" s="317" t="s">
        <v>3564</v>
      </c>
      <c r="E304" s="317" t="s">
        <v>3459</v>
      </c>
      <c r="F304" s="317" t="s">
        <v>3647</v>
      </c>
      <c r="G304" s="308" t="s">
        <v>1883</v>
      </c>
      <c r="H304" s="299">
        <v>1725</v>
      </c>
      <c r="I304" s="299">
        <v>2200</v>
      </c>
      <c r="J304" s="298">
        <f>IF(OR(G304="ágazaton kívüli",G304="n.a."),2.2,IF(OR(E304=2,E304=3,E304=4),VLOOKUP(G304,Szakmaszorzók!$B$2:$D$25,2,0),VLOOKUP(G304,Szakmaszorzók!$B$2:$D$25,3,0)))</f>
        <v>2.2000000000000002</v>
      </c>
      <c r="K304" s="320">
        <f>'Támogatás szorzat tényezői'!$C$2*'Támogatás szorzat tényezői'!$C$5*J304*(H304/1000)</f>
        <v>1366200.0000000002</v>
      </c>
      <c r="L304" s="300"/>
      <c r="M304" s="319">
        <f t="shared" si="4"/>
        <v>8</v>
      </c>
    </row>
    <row r="305" spans="1:13" ht="15.75" hidden="1" customHeight="1" x14ac:dyDescent="0.25">
      <c r="A305" s="319">
        <v>267</v>
      </c>
      <c r="B305" s="298" t="s">
        <v>3648</v>
      </c>
      <c r="C305" s="313" t="s">
        <v>1558</v>
      </c>
      <c r="D305" s="317" t="s">
        <v>3564</v>
      </c>
      <c r="E305" s="317" t="s">
        <v>3459</v>
      </c>
      <c r="F305" s="317" t="s">
        <v>3649</v>
      </c>
      <c r="G305" s="308" t="s">
        <v>1883</v>
      </c>
      <c r="H305" s="299">
        <v>1725</v>
      </c>
      <c r="I305" s="299">
        <v>2200</v>
      </c>
      <c r="J305" s="298">
        <f>IF(OR(G305="ágazaton kívüli",G305="n.a."),2.2,IF(OR(E305=2,E305=3,E305=4),VLOOKUP(G305,Szakmaszorzók!$B$2:$D$25,2,0),VLOOKUP(G305,Szakmaszorzók!$B$2:$D$25,3,0)))</f>
        <v>2.2000000000000002</v>
      </c>
      <c r="K305" s="320">
        <f>'Támogatás szorzat tényezői'!$C$2*'Támogatás szorzat tényezői'!$C$5*J305*(H305/1000)</f>
        <v>1366200.0000000002</v>
      </c>
      <c r="L305" s="300"/>
      <c r="M305" s="319">
        <f t="shared" si="4"/>
        <v>8</v>
      </c>
    </row>
    <row r="306" spans="1:13" ht="15.75" hidden="1" customHeight="1" x14ac:dyDescent="0.25">
      <c r="A306" s="319">
        <v>268</v>
      </c>
      <c r="B306" s="298" t="s">
        <v>3012</v>
      </c>
      <c r="C306" s="313" t="s">
        <v>1559</v>
      </c>
      <c r="D306" s="317" t="s">
        <v>3564</v>
      </c>
      <c r="E306" s="317" t="s">
        <v>3459</v>
      </c>
      <c r="F306" s="317" t="s">
        <v>3650</v>
      </c>
      <c r="G306" s="308" t="s">
        <v>1883</v>
      </c>
      <c r="H306" s="299">
        <v>1725</v>
      </c>
      <c r="I306" s="299">
        <v>2200</v>
      </c>
      <c r="J306" s="298">
        <f>IF(OR(G306="ágazaton kívüli",G306="n.a."),2.2,IF(OR(E306=2,E306=3,E306=4),VLOOKUP(G306,Szakmaszorzók!$B$2:$D$25,2,0),VLOOKUP(G306,Szakmaszorzók!$B$2:$D$25,3,0)))</f>
        <v>2.2000000000000002</v>
      </c>
      <c r="K306" s="320">
        <f>'Támogatás szorzat tényezői'!$C$2*'Támogatás szorzat tényezői'!$C$5*J306*(H306/1000)</f>
        <v>1366200.0000000002</v>
      </c>
      <c r="L306" s="300"/>
      <c r="M306" s="319">
        <f t="shared" si="4"/>
        <v>8</v>
      </c>
    </row>
    <row r="307" spans="1:13" ht="15.75" hidden="1" customHeight="1" x14ac:dyDescent="0.25">
      <c r="A307" s="319">
        <v>106</v>
      </c>
      <c r="B307" s="298" t="s">
        <v>2914</v>
      </c>
      <c r="C307" s="313" t="s">
        <v>1677</v>
      </c>
      <c r="D307" s="317" t="s">
        <v>1674</v>
      </c>
      <c r="E307" s="317" t="s">
        <v>3459</v>
      </c>
      <c r="F307" s="317" t="s">
        <v>3481</v>
      </c>
      <c r="G307" s="299" t="s">
        <v>1296</v>
      </c>
      <c r="H307" s="299">
        <v>320</v>
      </c>
      <c r="I307" s="299">
        <v>400</v>
      </c>
      <c r="J307" s="298">
        <f>IF(OR(G307="ágazaton kívüli",G307="n.a."),2.2,IF(OR(E307=2,E307=3,E307=4),VLOOKUP(G307,Szakmaszorzók!$B$2:$D$25,2,0),VLOOKUP(G307,Szakmaszorzók!$B$2:$D$25,3,0)))</f>
        <v>2.2000000000000002</v>
      </c>
      <c r="K307" s="320">
        <f>'Támogatás szorzat tényezői'!$C$2*'Támogatás szorzat tényezői'!$C$5*J307*(H307/1000)</f>
        <v>253440.00000000003</v>
      </c>
      <c r="L307" s="300"/>
      <c r="M307" s="319">
        <f t="shared" si="4"/>
        <v>8</v>
      </c>
    </row>
    <row r="308" spans="1:13" ht="15.75" hidden="1" customHeight="1" x14ac:dyDescent="0.25">
      <c r="A308" s="319">
        <v>364</v>
      </c>
      <c r="B308" s="298" t="s">
        <v>3115</v>
      </c>
      <c r="C308" s="313" t="s">
        <v>1560</v>
      </c>
      <c r="D308" s="317" t="s">
        <v>1362</v>
      </c>
      <c r="E308" s="317" t="s">
        <v>3459</v>
      </c>
      <c r="F308" s="317" t="s">
        <v>3473</v>
      </c>
      <c r="G308" s="299" t="s">
        <v>1351</v>
      </c>
      <c r="H308" s="299">
        <v>200</v>
      </c>
      <c r="I308" s="299">
        <v>300</v>
      </c>
      <c r="J308" s="298">
        <f>IF(OR(G308="ágazaton kívüli",G308="n.a."),2.2,IF(OR(E308=2,E308=3,E308=4),VLOOKUP(G308,Szakmaszorzók!$B$2:$D$25,2,0),VLOOKUP(G308,Szakmaszorzók!$B$2:$D$25,3,0)))</f>
        <v>2.2000000000000002</v>
      </c>
      <c r="K308" s="320">
        <f>'Támogatás szorzat tényezői'!$C$2*'Támogatás szorzat tényezői'!$C$5*J308*(H308/1000)</f>
        <v>158400.00000000003</v>
      </c>
      <c r="L308" s="300"/>
      <c r="M308" s="319">
        <f t="shared" si="4"/>
        <v>8</v>
      </c>
    </row>
    <row r="309" spans="1:13" ht="15.75" hidden="1" customHeight="1" x14ac:dyDescent="0.25">
      <c r="A309" s="319">
        <v>81</v>
      </c>
      <c r="B309" s="298" t="s">
        <v>2910</v>
      </c>
      <c r="C309" s="313" t="s">
        <v>1685</v>
      </c>
      <c r="D309" s="317" t="s">
        <v>1283</v>
      </c>
      <c r="E309" s="317" t="s">
        <v>3458</v>
      </c>
      <c r="F309" s="317" t="s">
        <v>3490</v>
      </c>
      <c r="G309" s="299" t="s">
        <v>1282</v>
      </c>
      <c r="H309" s="299">
        <v>240</v>
      </c>
      <c r="I309" s="299">
        <v>360</v>
      </c>
      <c r="J309" s="298">
        <f>IF(OR(G309="ágazaton kívüli",G309="n.a."),2.2,IF(OR(E309=2,E309=3,E309=4),VLOOKUP(G309,Szakmaszorzók!$B$2:$D$25,2,0),VLOOKUP(G309,Szakmaszorzók!$B$2:$D$25,3,0)))</f>
        <v>2.42</v>
      </c>
      <c r="K309" s="320">
        <f>'Támogatás szorzat tényezői'!$C$2*'Támogatás szorzat tényezői'!$C$5*J309*(H309/1000)</f>
        <v>209088</v>
      </c>
      <c r="L309" s="300"/>
      <c r="M309" s="319">
        <f t="shared" si="4"/>
        <v>8</v>
      </c>
    </row>
    <row r="310" spans="1:13" ht="15.75" hidden="1" customHeight="1" x14ac:dyDescent="0.25">
      <c r="A310" s="319">
        <v>149</v>
      </c>
      <c r="B310" s="298" t="s">
        <v>3558</v>
      </c>
      <c r="C310" s="313" t="s">
        <v>1689</v>
      </c>
      <c r="D310" s="317" t="s">
        <v>3557</v>
      </c>
      <c r="E310" s="317" t="s">
        <v>3458</v>
      </c>
      <c r="F310" s="317" t="s">
        <v>3462</v>
      </c>
      <c r="G310" s="299" t="s">
        <v>1301</v>
      </c>
      <c r="H310" s="299">
        <v>160</v>
      </c>
      <c r="I310" s="299">
        <v>200</v>
      </c>
      <c r="J310" s="298">
        <f>IF(OR(G310="ágazaton kívüli",G310="n.a."),2.2,IF(OR(E310=2,E310=3,E310=4),VLOOKUP(G310,Szakmaszorzók!$B$2:$D$25,2,0),VLOOKUP(G310,Szakmaszorzók!$B$2:$D$25,3,0)))</f>
        <v>2.85</v>
      </c>
      <c r="K310" s="320">
        <f>'Támogatás szorzat tényezői'!$C$2*'Támogatás szorzat tényezői'!$C$5*J310*(H310/1000)</f>
        <v>164160</v>
      </c>
      <c r="L310" s="300"/>
      <c r="M310" s="319">
        <f t="shared" si="4"/>
        <v>8</v>
      </c>
    </row>
    <row r="311" spans="1:13" ht="15.75" hidden="1" customHeight="1" x14ac:dyDescent="0.25">
      <c r="A311" s="319">
        <v>107</v>
      </c>
      <c r="B311" s="298" t="s">
        <v>3537</v>
      </c>
      <c r="C311" s="313" t="s">
        <v>1561</v>
      </c>
      <c r="D311" s="317" t="s">
        <v>1281</v>
      </c>
      <c r="E311" s="317" t="s">
        <v>3459</v>
      </c>
      <c r="F311" s="317" t="s">
        <v>3464</v>
      </c>
      <c r="G311" s="299" t="s">
        <v>1298</v>
      </c>
      <c r="H311" s="299">
        <v>280</v>
      </c>
      <c r="I311" s="299">
        <v>350</v>
      </c>
      <c r="J311" s="298">
        <f>IF(OR(G311="ágazaton kívüli",G311="n.a."),2.2,IF(OR(E311=2,E311=3,E311=4),VLOOKUP(G311,Szakmaszorzók!$B$2:$D$25,2,0),VLOOKUP(G311,Szakmaszorzók!$B$2:$D$25,3,0)))</f>
        <v>2.42</v>
      </c>
      <c r="K311" s="320">
        <f>'Támogatás szorzat tényezői'!$C$2*'Támogatás szorzat tényezői'!$C$5*J311*(H311/1000)</f>
        <v>243936.00000000003</v>
      </c>
      <c r="L311" s="300"/>
      <c r="M311" s="319">
        <f t="shared" si="4"/>
        <v>8</v>
      </c>
    </row>
    <row r="312" spans="1:13" ht="15.75" hidden="1" customHeight="1" x14ac:dyDescent="0.25">
      <c r="A312" s="319">
        <v>365</v>
      </c>
      <c r="B312" s="298" t="s">
        <v>3731</v>
      </c>
      <c r="C312" s="313" t="s">
        <v>2797</v>
      </c>
      <c r="D312" s="317" t="s">
        <v>1630</v>
      </c>
      <c r="E312" s="317" t="s">
        <v>3732</v>
      </c>
      <c r="F312" s="317" t="s">
        <v>3484</v>
      </c>
      <c r="G312" s="299" t="s">
        <v>1389</v>
      </c>
      <c r="H312" s="299">
        <v>270</v>
      </c>
      <c r="I312" s="299">
        <v>330</v>
      </c>
      <c r="J312" s="298">
        <f>IF(OR(G312="ágazaton kívüli",G312="n.a."),2.2,IF(OR(E312=2,E312=3,E312=4),VLOOKUP(G312,Szakmaszorzók!$B$2:$D$25,2,0),VLOOKUP(G312,Szakmaszorzók!$B$2:$D$25,3,0)))</f>
        <v>2.2000000000000002</v>
      </c>
      <c r="K312" s="320">
        <f>'Támogatás szorzat tényezői'!$C$2*'Támogatás szorzat tényezői'!$C$5*J312*(H312/1000)</f>
        <v>213840.00000000006</v>
      </c>
      <c r="L312" s="300"/>
      <c r="M312" s="319">
        <f t="shared" si="4"/>
        <v>8</v>
      </c>
    </row>
    <row r="313" spans="1:13" ht="15.75" hidden="1" customHeight="1" x14ac:dyDescent="0.25">
      <c r="A313" s="319">
        <v>42</v>
      </c>
      <c r="B313" s="298" t="s">
        <v>2881</v>
      </c>
      <c r="C313" s="313" t="s">
        <v>2780</v>
      </c>
      <c r="D313" s="317" t="s">
        <v>1302</v>
      </c>
      <c r="E313" s="317" t="s">
        <v>3459</v>
      </c>
      <c r="F313" s="317" t="s">
        <v>3462</v>
      </c>
      <c r="G313" s="299" t="s">
        <v>1293</v>
      </c>
      <c r="H313" s="299">
        <v>720</v>
      </c>
      <c r="I313" s="299">
        <v>1000</v>
      </c>
      <c r="J313" s="298">
        <f>IF(OR(G313="ágazaton kívüli",G313="n.a."),2.2,IF(OR(E313=2,E313=3,E313=4),VLOOKUP(G313,Szakmaszorzók!$B$2:$D$25,2,0),VLOOKUP(G313,Szakmaszorzók!$B$2:$D$25,3,0)))</f>
        <v>2.42</v>
      </c>
      <c r="K313" s="320">
        <f>'Támogatás szorzat tényezői'!$C$2*'Támogatás szorzat tényezői'!$C$5*J313*(H313/1000)</f>
        <v>627264</v>
      </c>
      <c r="L313" s="300"/>
      <c r="M313" s="319">
        <f t="shared" si="4"/>
        <v>8</v>
      </c>
    </row>
    <row r="314" spans="1:13" ht="15.75" hidden="1" customHeight="1" x14ac:dyDescent="0.25">
      <c r="A314" s="319">
        <v>43</v>
      </c>
      <c r="B314" s="298" t="s">
        <v>3504</v>
      </c>
      <c r="C314" s="313" t="s">
        <v>1562</v>
      </c>
      <c r="D314" s="317" t="s">
        <v>1302</v>
      </c>
      <c r="E314" s="317" t="s">
        <v>3459</v>
      </c>
      <c r="F314" s="317" t="s">
        <v>3456</v>
      </c>
      <c r="G314" s="299" t="s">
        <v>1298</v>
      </c>
      <c r="H314" s="299">
        <v>240</v>
      </c>
      <c r="I314" s="299">
        <v>360</v>
      </c>
      <c r="J314" s="298">
        <f>IF(OR(G314="ágazaton kívüli",G314="n.a."),2.2,IF(OR(E314=2,E314=3,E314=4),VLOOKUP(G314,Szakmaszorzók!$B$2:$D$25,2,0),VLOOKUP(G314,Szakmaszorzók!$B$2:$D$25,3,0)))</f>
        <v>2.42</v>
      </c>
      <c r="K314" s="320">
        <f>'Támogatás szorzat tényezői'!$C$2*'Támogatás szorzat tényezői'!$C$5*J314*(H314/1000)</f>
        <v>209088</v>
      </c>
      <c r="L314" s="300"/>
      <c r="M314" s="319">
        <f t="shared" si="4"/>
        <v>8</v>
      </c>
    </row>
    <row r="315" spans="1:13" ht="15.75" hidden="1" customHeight="1" x14ac:dyDescent="0.25">
      <c r="A315" s="319">
        <v>72</v>
      </c>
      <c r="B315" s="298" t="s">
        <v>3520</v>
      </c>
      <c r="C315" s="313" t="s">
        <v>1563</v>
      </c>
      <c r="D315" s="317" t="s">
        <v>1329</v>
      </c>
      <c r="E315" s="317" t="s">
        <v>3455</v>
      </c>
      <c r="F315" s="317" t="s">
        <v>3464</v>
      </c>
      <c r="G315" s="299" t="s">
        <v>1328</v>
      </c>
      <c r="H315" s="299">
        <v>160</v>
      </c>
      <c r="I315" s="299">
        <v>172</v>
      </c>
      <c r="J315" s="298">
        <f>IF(OR(G315="ágazaton kívüli",G315="n.a."),2.2,IF(OR(E315=2,E315=3,E315=4),VLOOKUP(G315,Szakmaszorzók!$B$2:$D$25,2,0),VLOOKUP(G315,Szakmaszorzók!$B$2:$D$25,3,0)))</f>
        <v>2.85</v>
      </c>
      <c r="K315" s="320">
        <f>'Támogatás szorzat tényezői'!$C$2*'Támogatás szorzat tényezői'!$C$5*J315*(H315/1000)</f>
        <v>164160</v>
      </c>
      <c r="L315" s="300"/>
      <c r="M315" s="319">
        <f t="shared" si="4"/>
        <v>8</v>
      </c>
    </row>
    <row r="316" spans="1:13" ht="15.75" hidden="1" customHeight="1" x14ac:dyDescent="0.25">
      <c r="A316" s="319">
        <v>418</v>
      </c>
      <c r="B316" s="298" t="s">
        <v>3757</v>
      </c>
      <c r="C316" s="313" t="s">
        <v>3185</v>
      </c>
      <c r="D316" s="317" t="s">
        <v>3739</v>
      </c>
      <c r="E316" s="317" t="s">
        <v>3459</v>
      </c>
      <c r="F316" s="317" t="s">
        <v>3470</v>
      </c>
      <c r="G316" s="7" t="s">
        <v>1373</v>
      </c>
      <c r="H316" s="296">
        <v>500</v>
      </c>
      <c r="I316" s="296">
        <v>700</v>
      </c>
      <c r="J316" s="298">
        <f>IF(OR(G316="ágazaton kívüli",G316="n.a."),2.2,IF(OR(E316=2,E316=3,E316=4),VLOOKUP(G316,Szakmaszorzók!$B$2:$D$25,2,0),VLOOKUP(G316,Szakmaszorzók!$B$2:$D$25,3,0)))</f>
        <v>2.2000000000000002</v>
      </c>
      <c r="K316" s="320">
        <f>'Támogatás szorzat tényezői'!$C$2*'Támogatás szorzat tényezői'!$C$5*J316*(H316/1000)</f>
        <v>396000.00000000006</v>
      </c>
      <c r="L316" s="300"/>
      <c r="M316" s="319">
        <f t="shared" si="4"/>
        <v>8</v>
      </c>
    </row>
    <row r="317" spans="1:13" ht="15.75" hidden="1" customHeight="1" x14ac:dyDescent="0.25">
      <c r="A317" s="319">
        <v>44</v>
      </c>
      <c r="B317" s="298" t="s">
        <v>2882</v>
      </c>
      <c r="C317" s="313" t="s">
        <v>1670</v>
      </c>
      <c r="D317" s="317" t="s">
        <v>1302</v>
      </c>
      <c r="E317" s="317" t="s">
        <v>3459</v>
      </c>
      <c r="F317" s="317" t="s">
        <v>3505</v>
      </c>
      <c r="G317" s="299" t="s">
        <v>1293</v>
      </c>
      <c r="H317" s="299">
        <v>320</v>
      </c>
      <c r="I317" s="299">
        <v>480</v>
      </c>
      <c r="J317" s="298">
        <f>IF(OR(G317="ágazaton kívüli",G317="n.a."),2.2,IF(OR(E317=2,E317=3,E317=4),VLOOKUP(G317,Szakmaszorzók!$B$2:$D$25,2,0),VLOOKUP(G317,Szakmaszorzók!$B$2:$D$25,3,0)))</f>
        <v>2.42</v>
      </c>
      <c r="K317" s="320">
        <f>'Támogatás szorzat tényezői'!$C$2*'Támogatás szorzat tényezői'!$C$5*J317*(H317/1000)</f>
        <v>278784</v>
      </c>
      <c r="L317" s="300"/>
      <c r="M317" s="319">
        <f t="shared" si="4"/>
        <v>8</v>
      </c>
    </row>
    <row r="318" spans="1:13" ht="15.75" hidden="1" customHeight="1" x14ac:dyDescent="0.25">
      <c r="A318" s="319">
        <v>336</v>
      </c>
      <c r="B318" s="298" t="s">
        <v>267</v>
      </c>
      <c r="C318" s="313" t="s">
        <v>1708</v>
      </c>
      <c r="D318" s="317" t="s">
        <v>3714</v>
      </c>
      <c r="E318" s="317" t="s">
        <v>3459</v>
      </c>
      <c r="F318" s="317" t="s">
        <v>3464</v>
      </c>
      <c r="G318" s="299" t="s">
        <v>1316</v>
      </c>
      <c r="H318" s="299">
        <v>480</v>
      </c>
      <c r="I318" s="299">
        <v>720</v>
      </c>
      <c r="J318" s="298">
        <f>IF(OR(G318="ágazaton kívüli",G318="n.a."),2.2,IF(OR(E318=2,E318=3,E318=4),VLOOKUP(G318,Szakmaszorzók!$B$2:$D$25,2,0),VLOOKUP(G318,Szakmaszorzók!$B$2:$D$25,3,0)))</f>
        <v>2.85</v>
      </c>
      <c r="K318" s="320">
        <f>'Támogatás szorzat tényezői'!$C$2*'Támogatás szorzat tényezői'!$C$5*J318*(H318/1000)</f>
        <v>492480</v>
      </c>
      <c r="L318" s="300"/>
      <c r="M318" s="319">
        <f t="shared" si="4"/>
        <v>8</v>
      </c>
    </row>
    <row r="319" spans="1:13" ht="15.75" hidden="1" customHeight="1" x14ac:dyDescent="0.25">
      <c r="A319" s="319">
        <v>298</v>
      </c>
      <c r="B319" s="298" t="s">
        <v>3032</v>
      </c>
      <c r="C319" s="313" t="s">
        <v>1564</v>
      </c>
      <c r="D319" s="317" t="s">
        <v>3698</v>
      </c>
      <c r="E319" s="317" t="s">
        <v>3459</v>
      </c>
      <c r="F319" s="317" t="s">
        <v>3456</v>
      </c>
      <c r="G319" s="308" t="s">
        <v>1883</v>
      </c>
      <c r="H319" s="299">
        <v>900</v>
      </c>
      <c r="I319" s="299">
        <v>1300</v>
      </c>
      <c r="J319" s="298">
        <f>IF(OR(G319="ágazaton kívüli",G319="n.a."),2.2,IF(OR(E319=2,E319=3,E319=4),VLOOKUP(G319,Szakmaszorzók!$B$2:$D$25,2,0),VLOOKUP(G319,Szakmaszorzók!$B$2:$D$25,3,0)))</f>
        <v>2.2000000000000002</v>
      </c>
      <c r="K319" s="320">
        <f>'Támogatás szorzat tényezői'!$C$2*'Támogatás szorzat tényezői'!$C$5*J319*(H319/1000)</f>
        <v>712800.00000000012</v>
      </c>
      <c r="L319" s="300"/>
      <c r="M319" s="319">
        <f t="shared" si="4"/>
        <v>8</v>
      </c>
    </row>
    <row r="320" spans="1:13" ht="15.75" hidden="1" customHeight="1" x14ac:dyDescent="0.25">
      <c r="A320" s="319">
        <v>299</v>
      </c>
      <c r="B320" s="298" t="s">
        <v>3033</v>
      </c>
      <c r="C320" s="313" t="s">
        <v>1565</v>
      </c>
      <c r="D320" s="317" t="s">
        <v>3698</v>
      </c>
      <c r="E320" s="317" t="s">
        <v>3459</v>
      </c>
      <c r="F320" s="317" t="s">
        <v>3464</v>
      </c>
      <c r="G320" s="308" t="s">
        <v>1883</v>
      </c>
      <c r="H320" s="299">
        <v>1000</v>
      </c>
      <c r="I320" s="299">
        <v>1300</v>
      </c>
      <c r="J320" s="298">
        <f>IF(OR(G320="ágazaton kívüli",G320="n.a."),2.2,IF(OR(E320=2,E320=3,E320=4),VLOOKUP(G320,Szakmaszorzók!$B$2:$D$25,2,0),VLOOKUP(G320,Szakmaszorzók!$B$2:$D$25,3,0)))</f>
        <v>2.2000000000000002</v>
      </c>
      <c r="K320" s="320">
        <f>'Támogatás szorzat tényezői'!$C$2*'Támogatás szorzat tényezői'!$C$5*J320*(H320/1000)</f>
        <v>792000.00000000012</v>
      </c>
      <c r="L320" s="300"/>
      <c r="M320" s="319">
        <f t="shared" si="4"/>
        <v>8</v>
      </c>
    </row>
    <row r="321" spans="1:13" ht="15.75" hidden="1" customHeight="1" x14ac:dyDescent="0.25">
      <c r="A321" s="319">
        <v>366</v>
      </c>
      <c r="B321" s="298" t="s">
        <v>3733</v>
      </c>
      <c r="C321" s="313" t="s">
        <v>2804</v>
      </c>
      <c r="D321" s="317" t="s">
        <v>3723</v>
      </c>
      <c r="E321" s="317" t="s">
        <v>3459</v>
      </c>
      <c r="F321" s="317" t="s">
        <v>3456</v>
      </c>
      <c r="G321" s="299" t="s">
        <v>1389</v>
      </c>
      <c r="H321" s="299">
        <v>30</v>
      </c>
      <c r="I321" s="299">
        <v>50</v>
      </c>
      <c r="J321" s="298">
        <f>IF(OR(G321="ágazaton kívüli",G321="n.a."),2.2,IF(OR(E321=2,E321=3,E321=4),VLOOKUP(G321,Szakmaszorzók!$B$2:$D$25,2,0),VLOOKUP(G321,Szakmaszorzók!$B$2:$D$25,3,0)))</f>
        <v>2.2000000000000002</v>
      </c>
      <c r="K321" s="320">
        <f>'Támogatás szorzat tényezői'!$C$2*'Támogatás szorzat tényezői'!$C$5*J321*(H321/1000)</f>
        <v>23760.000000000004</v>
      </c>
      <c r="L321" s="300"/>
      <c r="M321" s="319">
        <f t="shared" si="4"/>
        <v>8</v>
      </c>
    </row>
    <row r="322" spans="1:13" ht="15.75" hidden="1" customHeight="1" x14ac:dyDescent="0.25">
      <c r="A322" s="319">
        <v>367</v>
      </c>
      <c r="B322" s="298" t="s">
        <v>3103</v>
      </c>
      <c r="C322" s="313" t="s">
        <v>2798</v>
      </c>
      <c r="D322" s="317" t="s">
        <v>1630</v>
      </c>
      <c r="E322" s="317" t="s">
        <v>3455</v>
      </c>
      <c r="F322" s="317" t="s">
        <v>3462</v>
      </c>
      <c r="G322" s="299" t="s">
        <v>1389</v>
      </c>
      <c r="H322" s="299">
        <v>140</v>
      </c>
      <c r="I322" s="299">
        <v>210</v>
      </c>
      <c r="J322" s="298">
        <f>IF(OR(G322="ágazaton kívüli",G322="n.a."),2.2,IF(OR(E322=2,E322=3,E322=4),VLOOKUP(G322,Szakmaszorzók!$B$2:$D$25,2,0),VLOOKUP(G322,Szakmaszorzók!$B$2:$D$25,3,0)))</f>
        <v>2.2000000000000002</v>
      </c>
      <c r="K322" s="320">
        <f>'Támogatás szorzat tényezői'!$C$2*'Támogatás szorzat tényezői'!$C$5*J322*(H322/1000)</f>
        <v>110880.00000000003</v>
      </c>
      <c r="L322" s="300"/>
      <c r="M322" s="319">
        <f t="shared" ref="M322:M385" si="5">LEN(C322)</f>
        <v>8</v>
      </c>
    </row>
    <row r="323" spans="1:13" ht="15.75" hidden="1" customHeight="1" x14ac:dyDescent="0.25">
      <c r="A323" s="319">
        <v>45</v>
      </c>
      <c r="B323" s="298" t="s">
        <v>2856</v>
      </c>
      <c r="C323" s="313" t="s">
        <v>1669</v>
      </c>
      <c r="D323" s="317" t="s">
        <v>1291</v>
      </c>
      <c r="E323" s="317" t="s">
        <v>3455</v>
      </c>
      <c r="F323" s="317" t="s">
        <v>3481</v>
      </c>
      <c r="G323" s="299" t="s">
        <v>1290</v>
      </c>
      <c r="H323" s="299">
        <v>400</v>
      </c>
      <c r="I323" s="299">
        <v>600</v>
      </c>
      <c r="J323" s="298">
        <f>IF(OR(G323="ágazaton kívüli",G323="n.a."),2.2,IF(OR(E323=2,E323=3,E323=4),VLOOKUP(G323,Szakmaszorzók!$B$2:$D$25,2,0),VLOOKUP(G323,Szakmaszorzók!$B$2:$D$25,3,0)))</f>
        <v>2.85</v>
      </c>
      <c r="K323" s="320">
        <f>'Támogatás szorzat tényezői'!$C$2*'Támogatás szorzat tényezői'!$C$5*J323*(H323/1000)</f>
        <v>410400</v>
      </c>
      <c r="L323" s="300"/>
      <c r="M323" s="319">
        <f t="shared" si="5"/>
        <v>8</v>
      </c>
    </row>
    <row r="324" spans="1:13" ht="15.75" hidden="1" customHeight="1" x14ac:dyDescent="0.25">
      <c r="A324" s="319">
        <v>368</v>
      </c>
      <c r="B324" s="298" t="s">
        <v>3116</v>
      </c>
      <c r="C324" s="313" t="s">
        <v>2801</v>
      </c>
      <c r="D324" s="317" t="s">
        <v>1362</v>
      </c>
      <c r="E324" s="317" t="s">
        <v>3459</v>
      </c>
      <c r="F324" s="317" t="s">
        <v>3477</v>
      </c>
      <c r="G324" s="299" t="s">
        <v>1351</v>
      </c>
      <c r="H324" s="299">
        <v>160</v>
      </c>
      <c r="I324" s="299">
        <v>180</v>
      </c>
      <c r="J324" s="298">
        <f>IF(OR(G324="ágazaton kívüli",G324="n.a."),2.2,IF(OR(E324=2,E324=3,E324=4),VLOOKUP(G324,Szakmaszorzók!$B$2:$D$25,2,0),VLOOKUP(G324,Szakmaszorzók!$B$2:$D$25,3,0)))</f>
        <v>2.2000000000000002</v>
      </c>
      <c r="K324" s="320">
        <f>'Támogatás szorzat tényezői'!$C$2*'Támogatás szorzat tényezői'!$C$5*J324*(H324/1000)</f>
        <v>126720.00000000001</v>
      </c>
      <c r="L324" s="300"/>
      <c r="M324" s="319">
        <f t="shared" si="5"/>
        <v>8</v>
      </c>
    </row>
    <row r="325" spans="1:13" ht="15.75" hidden="1" customHeight="1" x14ac:dyDescent="0.25">
      <c r="A325" s="319">
        <v>73</v>
      </c>
      <c r="B325" s="298" t="s">
        <v>2904</v>
      </c>
      <c r="C325" s="313" t="s">
        <v>2905</v>
      </c>
      <c r="D325" s="317" t="s">
        <v>1384</v>
      </c>
      <c r="E325" s="317" t="s">
        <v>3459</v>
      </c>
      <c r="F325" s="317" t="s">
        <v>3481</v>
      </c>
      <c r="G325" s="299" t="s">
        <v>1285</v>
      </c>
      <c r="H325" s="299">
        <v>360</v>
      </c>
      <c r="I325" s="299">
        <v>400</v>
      </c>
      <c r="J325" s="298">
        <f>IF(OR(G325="ágazaton kívüli",G325="n.a."),2.2,IF(OR(E325=2,E325=3,E325=4),VLOOKUP(G325,Szakmaszorzók!$B$2:$D$25,2,0),VLOOKUP(G325,Szakmaszorzók!$B$2:$D$25,3,0)))</f>
        <v>2.2000000000000002</v>
      </c>
      <c r="K325" s="320">
        <f>'Támogatás szorzat tényezői'!$C$2*'Támogatás szorzat tényezői'!$C$5*J325*(H325/1000)</f>
        <v>285120.00000000006</v>
      </c>
      <c r="L325" s="300"/>
      <c r="M325" s="319">
        <f t="shared" si="5"/>
        <v>8</v>
      </c>
    </row>
    <row r="326" spans="1:13" ht="15.75" hidden="1" customHeight="1" x14ac:dyDescent="0.25">
      <c r="A326" s="319">
        <v>82</v>
      </c>
      <c r="B326" s="298" t="s">
        <v>278</v>
      </c>
      <c r="C326" s="313" t="s">
        <v>1686</v>
      </c>
      <c r="D326" s="317" t="s">
        <v>1283</v>
      </c>
      <c r="E326" s="317" t="s">
        <v>3459</v>
      </c>
      <c r="F326" s="317" t="s">
        <v>3480</v>
      </c>
      <c r="G326" s="299" t="s">
        <v>1282</v>
      </c>
      <c r="H326" s="299">
        <v>400</v>
      </c>
      <c r="I326" s="299">
        <v>500</v>
      </c>
      <c r="J326" s="298">
        <f>IF(OR(G326="ágazaton kívüli",G326="n.a."),2.2,IF(OR(E326=2,E326=3,E326=4),VLOOKUP(G326,Szakmaszorzók!$B$2:$D$25,2,0),VLOOKUP(G326,Szakmaszorzók!$B$2:$D$25,3,0)))</f>
        <v>2.42</v>
      </c>
      <c r="K326" s="320">
        <f>'Támogatás szorzat tényezői'!$C$2*'Támogatás szorzat tényezői'!$C$5*J326*(H326/1000)</f>
        <v>348480</v>
      </c>
      <c r="L326" s="300"/>
      <c r="M326" s="319">
        <f t="shared" si="5"/>
        <v>8</v>
      </c>
    </row>
    <row r="327" spans="1:13" ht="15.75" hidden="1" customHeight="1" x14ac:dyDescent="0.25">
      <c r="A327" s="319">
        <v>150</v>
      </c>
      <c r="B327" s="298" t="s">
        <v>3559</v>
      </c>
      <c r="C327" s="313" t="s">
        <v>1566</v>
      </c>
      <c r="D327" s="317" t="s">
        <v>3557</v>
      </c>
      <c r="E327" s="317" t="s">
        <v>3459</v>
      </c>
      <c r="F327" s="317" t="s">
        <v>3456</v>
      </c>
      <c r="G327" s="299" t="s">
        <v>1290</v>
      </c>
      <c r="H327" s="299">
        <v>120</v>
      </c>
      <c r="I327" s="299">
        <v>150</v>
      </c>
      <c r="J327" s="298">
        <f>IF(OR(G327="ágazaton kívüli",G327="n.a."),2.2,IF(OR(E327=2,E327=3,E327=4),VLOOKUP(G327,Szakmaszorzók!$B$2:$D$25,2,0),VLOOKUP(G327,Szakmaszorzók!$B$2:$D$25,3,0)))</f>
        <v>2.85</v>
      </c>
      <c r="K327" s="320">
        <f>'Támogatás szorzat tényezői'!$C$2*'Támogatás szorzat tényezői'!$C$5*J327*(H327/1000)</f>
        <v>123120</v>
      </c>
      <c r="L327" s="300"/>
      <c r="M327" s="319">
        <f t="shared" si="5"/>
        <v>8</v>
      </c>
    </row>
    <row r="328" spans="1:13" ht="15.75" hidden="1" customHeight="1" x14ac:dyDescent="0.25">
      <c r="A328" s="319">
        <v>369</v>
      </c>
      <c r="B328" s="298" t="s">
        <v>3734</v>
      </c>
      <c r="C328" s="313" t="s">
        <v>1567</v>
      </c>
      <c r="D328" s="317" t="s">
        <v>1362</v>
      </c>
      <c r="E328" s="317" t="s">
        <v>3458</v>
      </c>
      <c r="F328" s="317" t="s">
        <v>3484</v>
      </c>
      <c r="G328" s="299" t="s">
        <v>1351</v>
      </c>
      <c r="H328" s="299">
        <v>80</v>
      </c>
      <c r="I328" s="299">
        <v>120</v>
      </c>
      <c r="J328" s="298">
        <f>IF(OR(G328="ágazaton kívüli",G328="n.a."),2.2,IF(OR(E328=2,E328=3,E328=4),VLOOKUP(G328,Szakmaszorzók!$B$2:$D$25,2,0),VLOOKUP(G328,Szakmaszorzók!$B$2:$D$25,3,0)))</f>
        <v>2.2000000000000002</v>
      </c>
      <c r="K328" s="320">
        <f>'Támogatás szorzat tényezői'!$C$2*'Támogatás szorzat tényezői'!$C$5*J328*(H328/1000)</f>
        <v>63360.000000000007</v>
      </c>
      <c r="L328" s="300"/>
      <c r="M328" s="319">
        <f t="shared" si="5"/>
        <v>8</v>
      </c>
    </row>
    <row r="329" spans="1:13" ht="15.75" hidden="1" customHeight="1" x14ac:dyDescent="0.25">
      <c r="A329" s="319">
        <v>343</v>
      </c>
      <c r="B329" s="298" t="s">
        <v>3100</v>
      </c>
      <c r="C329" s="313" t="s">
        <v>3101</v>
      </c>
      <c r="D329" s="317" t="s">
        <v>3721</v>
      </c>
      <c r="E329" s="317" t="s">
        <v>3455</v>
      </c>
      <c r="F329" s="317" t="s">
        <v>3464</v>
      </c>
      <c r="G329" s="308" t="s">
        <v>1883</v>
      </c>
      <c r="H329" s="299">
        <v>420</v>
      </c>
      <c r="I329" s="299">
        <v>480</v>
      </c>
      <c r="J329" s="298">
        <f>IF(OR(G329="ágazaton kívüli",G329="n.a."),2.2,IF(OR(E329=2,E329=3,E329=4),VLOOKUP(G329,Szakmaszorzók!$B$2:$D$25,2,0),VLOOKUP(G329,Szakmaszorzók!$B$2:$D$25,3,0)))</f>
        <v>2.2000000000000002</v>
      </c>
      <c r="K329" s="320">
        <f>'Támogatás szorzat tényezői'!$C$2*'Támogatás szorzat tényezői'!$C$5*J329*(H329/1000)</f>
        <v>332640.00000000006</v>
      </c>
      <c r="L329" s="300"/>
      <c r="M329" s="319">
        <f t="shared" si="5"/>
        <v>8</v>
      </c>
    </row>
    <row r="330" spans="1:13" ht="15.75" hidden="1" customHeight="1" x14ac:dyDescent="0.25">
      <c r="A330" s="319">
        <v>307</v>
      </c>
      <c r="B330" s="298" t="s">
        <v>3035</v>
      </c>
      <c r="C330" s="313" t="s">
        <v>3036</v>
      </c>
      <c r="D330" s="317" t="s">
        <v>3702</v>
      </c>
      <c r="E330" s="317" t="s">
        <v>3459</v>
      </c>
      <c r="F330" s="317" t="s">
        <v>3481</v>
      </c>
      <c r="G330" s="299" t="s">
        <v>1327</v>
      </c>
      <c r="H330" s="299">
        <v>800</v>
      </c>
      <c r="I330" s="299">
        <v>1000</v>
      </c>
      <c r="J330" s="298">
        <f>IF(OR(G330="ágazaton kívüli",G330="n.a."),2.2,IF(OR(E330=2,E330=3,E330=4),VLOOKUP(G330,Szakmaszorzók!$B$2:$D$25,2,0),VLOOKUP(G330,Szakmaszorzók!$B$2:$D$25,3,0)))</f>
        <v>2.42</v>
      </c>
      <c r="K330" s="320">
        <f>'Támogatás szorzat tényezői'!$C$2*'Támogatás szorzat tényezői'!$C$5*J330*(H330/1000)</f>
        <v>696960</v>
      </c>
      <c r="L330" s="300"/>
      <c r="M330" s="319">
        <f t="shared" si="5"/>
        <v>8</v>
      </c>
    </row>
    <row r="331" spans="1:13" ht="15.75" hidden="1" customHeight="1" x14ac:dyDescent="0.25">
      <c r="A331" s="319">
        <v>46</v>
      </c>
      <c r="B331" s="298" t="s">
        <v>2891</v>
      </c>
      <c r="C331" s="313" t="s">
        <v>1606</v>
      </c>
      <c r="D331" s="317" t="s">
        <v>1288</v>
      </c>
      <c r="E331" s="317" t="s">
        <v>3459</v>
      </c>
      <c r="F331" s="317" t="s">
        <v>3456</v>
      </c>
      <c r="G331" s="299" t="s">
        <v>1287</v>
      </c>
      <c r="H331" s="299">
        <v>1000</v>
      </c>
      <c r="I331" s="299">
        <v>1100</v>
      </c>
      <c r="J331" s="298">
        <f>IF(OR(G331="ágazaton kívüli",G331="n.a."),2.2,IF(OR(E331=2,E331=3,E331=4),VLOOKUP(G331,Szakmaszorzók!$B$2:$D$25,2,0),VLOOKUP(G331,Szakmaszorzók!$B$2:$D$25,3,0)))</f>
        <v>2.85</v>
      </c>
      <c r="K331" s="320">
        <f>'Támogatás szorzat tényezői'!$C$2*'Támogatás szorzat tényezői'!$C$5*J331*(H331/1000)</f>
        <v>1026000</v>
      </c>
      <c r="L331" s="300"/>
      <c r="M331" s="319">
        <f t="shared" si="5"/>
        <v>8</v>
      </c>
    </row>
    <row r="332" spans="1:13" ht="15.75" hidden="1" customHeight="1" x14ac:dyDescent="0.25">
      <c r="A332" s="319">
        <v>308</v>
      </c>
      <c r="B332" s="298" t="s">
        <v>3068</v>
      </c>
      <c r="C332" s="313" t="s">
        <v>3069</v>
      </c>
      <c r="D332" s="317" t="s">
        <v>3699</v>
      </c>
      <c r="E332" s="317" t="s">
        <v>3455</v>
      </c>
      <c r="F332" s="317" t="s">
        <v>3490</v>
      </c>
      <c r="G332" s="299" t="s">
        <v>1325</v>
      </c>
      <c r="H332" s="299">
        <v>320</v>
      </c>
      <c r="I332" s="299">
        <v>455</v>
      </c>
      <c r="J332" s="298">
        <f>IF(OR(G332="ágazaton kívüli",G332="n.a."),2.2,IF(OR(E332=2,E332=3,E332=4),VLOOKUP(G332,Szakmaszorzók!$B$2:$D$25,2,0),VLOOKUP(G332,Szakmaszorzók!$B$2:$D$25,3,0)))</f>
        <v>2.2000000000000002</v>
      </c>
      <c r="K332" s="320">
        <f>'Támogatás szorzat tényezői'!$C$2*'Támogatás szorzat tényezői'!$C$5*J332*(H332/1000)</f>
        <v>253440.00000000003</v>
      </c>
      <c r="L332" s="300"/>
      <c r="M332" s="319">
        <f t="shared" si="5"/>
        <v>8</v>
      </c>
    </row>
    <row r="333" spans="1:13" ht="15.75" hidden="1" customHeight="1" x14ac:dyDescent="0.25">
      <c r="A333" s="319">
        <v>309</v>
      </c>
      <c r="B333" s="298" t="s">
        <v>3703</v>
      </c>
      <c r="C333" s="313" t="s">
        <v>3080</v>
      </c>
      <c r="D333" s="317" t="s">
        <v>3699</v>
      </c>
      <c r="E333" s="317" t="s">
        <v>3455</v>
      </c>
      <c r="F333" s="317" t="s">
        <v>3489</v>
      </c>
      <c r="G333" s="299" t="s">
        <v>1325</v>
      </c>
      <c r="H333" s="299">
        <v>320</v>
      </c>
      <c r="I333" s="299">
        <v>455</v>
      </c>
      <c r="J333" s="298">
        <f>IF(OR(G333="ágazaton kívüli",G333="n.a."),2.2,IF(OR(E333=2,E333=3,E333=4),VLOOKUP(G333,Szakmaszorzók!$B$2:$D$25,2,0),VLOOKUP(G333,Szakmaszorzók!$B$2:$D$25,3,0)))</f>
        <v>2.2000000000000002</v>
      </c>
      <c r="K333" s="320">
        <f>'Támogatás szorzat tényezői'!$C$2*'Támogatás szorzat tényezői'!$C$5*J333*(H333/1000)</f>
        <v>253440.00000000003</v>
      </c>
      <c r="L333" s="300"/>
      <c r="M333" s="319">
        <f t="shared" si="5"/>
        <v>8</v>
      </c>
    </row>
    <row r="334" spans="1:13" ht="15.75" hidden="1" customHeight="1" x14ac:dyDescent="0.25">
      <c r="A334" s="319">
        <v>310</v>
      </c>
      <c r="B334" s="298" t="s">
        <v>3064</v>
      </c>
      <c r="C334" s="313" t="s">
        <v>3065</v>
      </c>
      <c r="D334" s="317" t="s">
        <v>3699</v>
      </c>
      <c r="E334" s="317" t="s">
        <v>3455</v>
      </c>
      <c r="F334" s="317" t="s">
        <v>3505</v>
      </c>
      <c r="G334" s="299" t="s">
        <v>1325</v>
      </c>
      <c r="H334" s="299">
        <v>320</v>
      </c>
      <c r="I334" s="299">
        <v>455</v>
      </c>
      <c r="J334" s="298">
        <f>IF(OR(G334="ágazaton kívüli",G334="n.a."),2.2,IF(OR(E334=2,E334=3,E334=4),VLOOKUP(G334,Szakmaszorzók!$B$2:$D$25,2,0),VLOOKUP(G334,Szakmaszorzók!$B$2:$D$25,3,0)))</f>
        <v>2.2000000000000002</v>
      </c>
      <c r="K334" s="320">
        <f>'Támogatás szorzat tényezői'!$C$2*'Támogatás szorzat tényezői'!$C$5*J334*(H334/1000)</f>
        <v>253440.00000000003</v>
      </c>
      <c r="L334" s="300"/>
      <c r="M334" s="319">
        <f t="shared" si="5"/>
        <v>8</v>
      </c>
    </row>
    <row r="335" spans="1:13" ht="15.75" hidden="1" customHeight="1" x14ac:dyDescent="0.25">
      <c r="A335" s="319">
        <v>311</v>
      </c>
      <c r="B335" s="298" t="s">
        <v>3704</v>
      </c>
      <c r="C335" s="313" t="s">
        <v>3070</v>
      </c>
      <c r="D335" s="317" t="s">
        <v>3699</v>
      </c>
      <c r="E335" s="317" t="s">
        <v>3455</v>
      </c>
      <c r="F335" s="317" t="s">
        <v>3461</v>
      </c>
      <c r="G335" s="299" t="s">
        <v>1325</v>
      </c>
      <c r="H335" s="299">
        <v>320</v>
      </c>
      <c r="I335" s="299">
        <v>455</v>
      </c>
      <c r="J335" s="298">
        <f>IF(OR(G335="ágazaton kívüli",G335="n.a."),2.2,IF(OR(E335=2,E335=3,E335=4),VLOOKUP(G335,Szakmaszorzók!$B$2:$D$25,2,0),VLOOKUP(G335,Szakmaszorzók!$B$2:$D$25,3,0)))</f>
        <v>2.2000000000000002</v>
      </c>
      <c r="K335" s="320">
        <f>'Támogatás szorzat tényezői'!$C$2*'Támogatás szorzat tényezői'!$C$5*J335*(H335/1000)</f>
        <v>253440.00000000003</v>
      </c>
      <c r="L335" s="300"/>
      <c r="M335" s="319">
        <f t="shared" si="5"/>
        <v>8</v>
      </c>
    </row>
    <row r="336" spans="1:13" ht="15.75" hidden="1" customHeight="1" x14ac:dyDescent="0.25">
      <c r="A336" s="319">
        <v>312</v>
      </c>
      <c r="B336" s="298" t="s">
        <v>3071</v>
      </c>
      <c r="C336" s="313" t="s">
        <v>3072</v>
      </c>
      <c r="D336" s="317" t="s">
        <v>3699</v>
      </c>
      <c r="E336" s="317" t="s">
        <v>3455</v>
      </c>
      <c r="F336" s="317" t="s">
        <v>3471</v>
      </c>
      <c r="G336" s="299" t="s">
        <v>1325</v>
      </c>
      <c r="H336" s="299">
        <v>320</v>
      </c>
      <c r="I336" s="299">
        <v>455</v>
      </c>
      <c r="J336" s="298">
        <f>IF(OR(G336="ágazaton kívüli",G336="n.a."),2.2,IF(OR(E336=2,E336=3,E336=4),VLOOKUP(G336,Szakmaszorzók!$B$2:$D$25,2,0),VLOOKUP(G336,Szakmaszorzók!$B$2:$D$25,3,0)))</f>
        <v>2.2000000000000002</v>
      </c>
      <c r="K336" s="320">
        <f>'Támogatás szorzat tényezői'!$C$2*'Támogatás szorzat tényezői'!$C$5*J336*(H336/1000)</f>
        <v>253440.00000000003</v>
      </c>
      <c r="L336" s="300"/>
      <c r="M336" s="319">
        <f t="shared" si="5"/>
        <v>8</v>
      </c>
    </row>
    <row r="337" spans="1:13" ht="15.75" hidden="1" customHeight="1" x14ac:dyDescent="0.25">
      <c r="A337" s="319">
        <v>313</v>
      </c>
      <c r="B337" s="298" t="s">
        <v>3073</v>
      </c>
      <c r="C337" s="313" t="s">
        <v>3074</v>
      </c>
      <c r="D337" s="317" t="s">
        <v>3699</v>
      </c>
      <c r="E337" s="317" t="s">
        <v>3455</v>
      </c>
      <c r="F337" s="317" t="s">
        <v>3473</v>
      </c>
      <c r="G337" s="299" t="s">
        <v>1325</v>
      </c>
      <c r="H337" s="299">
        <v>320</v>
      </c>
      <c r="I337" s="299">
        <v>455</v>
      </c>
      <c r="J337" s="298">
        <f>IF(OR(G337="ágazaton kívüli",G337="n.a."),2.2,IF(OR(E337=2,E337=3,E337=4),VLOOKUP(G337,Szakmaszorzók!$B$2:$D$25,2,0),VLOOKUP(G337,Szakmaszorzók!$B$2:$D$25,3,0)))</f>
        <v>2.2000000000000002</v>
      </c>
      <c r="K337" s="320">
        <f>'Támogatás szorzat tényezői'!$C$2*'Támogatás szorzat tényezői'!$C$5*J337*(H337/1000)</f>
        <v>253440.00000000003</v>
      </c>
      <c r="L337" s="300"/>
      <c r="M337" s="319">
        <f t="shared" si="5"/>
        <v>8</v>
      </c>
    </row>
    <row r="338" spans="1:13" ht="15.75" hidden="1" customHeight="1" x14ac:dyDescent="0.25">
      <c r="A338" s="319">
        <v>314</v>
      </c>
      <c r="B338" s="298" t="s">
        <v>3705</v>
      </c>
      <c r="C338" s="313" t="s">
        <v>3079</v>
      </c>
      <c r="D338" s="317" t="s">
        <v>3699</v>
      </c>
      <c r="E338" s="317" t="s">
        <v>3455</v>
      </c>
      <c r="F338" s="317" t="s">
        <v>3487</v>
      </c>
      <c r="G338" s="299" t="s">
        <v>1325</v>
      </c>
      <c r="H338" s="299">
        <v>320</v>
      </c>
      <c r="I338" s="299">
        <v>455</v>
      </c>
      <c r="J338" s="298">
        <f>IF(OR(G338="ágazaton kívüli",G338="n.a."),2.2,IF(OR(E338=2,E338=3,E338=4),VLOOKUP(G338,Szakmaszorzók!$B$2:$D$25,2,0),VLOOKUP(G338,Szakmaszorzók!$B$2:$D$25,3,0)))</f>
        <v>2.2000000000000002</v>
      </c>
      <c r="K338" s="320">
        <f>'Támogatás szorzat tényezői'!$C$2*'Támogatás szorzat tényezői'!$C$5*J338*(H338/1000)</f>
        <v>253440.00000000003</v>
      </c>
      <c r="L338" s="300"/>
      <c r="M338" s="319">
        <f t="shared" si="5"/>
        <v>8</v>
      </c>
    </row>
    <row r="339" spans="1:13" ht="15.75" hidden="1" customHeight="1" x14ac:dyDescent="0.25">
      <c r="A339" s="319">
        <v>315</v>
      </c>
      <c r="B339" s="298" t="s">
        <v>3075</v>
      </c>
      <c r="C339" s="313" t="s">
        <v>3076</v>
      </c>
      <c r="D339" s="317" t="s">
        <v>3699</v>
      </c>
      <c r="E339" s="317" t="s">
        <v>3455</v>
      </c>
      <c r="F339" s="317" t="s">
        <v>3477</v>
      </c>
      <c r="G339" s="299" t="s">
        <v>1325</v>
      </c>
      <c r="H339" s="299">
        <v>320</v>
      </c>
      <c r="I339" s="299">
        <v>455</v>
      </c>
      <c r="J339" s="298">
        <f>IF(OR(G339="ágazaton kívüli",G339="n.a."),2.2,IF(OR(E339=2,E339=3,E339=4),VLOOKUP(G339,Szakmaszorzók!$B$2:$D$25,2,0),VLOOKUP(G339,Szakmaszorzók!$B$2:$D$25,3,0)))</f>
        <v>2.2000000000000002</v>
      </c>
      <c r="K339" s="320">
        <f>'Támogatás szorzat tényezői'!$C$2*'Támogatás szorzat tényezői'!$C$5*J339*(H339/1000)</f>
        <v>253440.00000000003</v>
      </c>
      <c r="L339" s="300"/>
      <c r="M339" s="319">
        <f t="shared" si="5"/>
        <v>8</v>
      </c>
    </row>
    <row r="340" spans="1:13" ht="15.75" hidden="1" customHeight="1" x14ac:dyDescent="0.25">
      <c r="A340" s="319">
        <v>316</v>
      </c>
      <c r="B340" s="298" t="s">
        <v>3706</v>
      </c>
      <c r="C340" s="313" t="s">
        <v>3077</v>
      </c>
      <c r="D340" s="317" t="s">
        <v>3699</v>
      </c>
      <c r="E340" s="317" t="s">
        <v>3455</v>
      </c>
      <c r="F340" s="317" t="s">
        <v>3469</v>
      </c>
      <c r="G340" s="299" t="s">
        <v>1325</v>
      </c>
      <c r="H340" s="299">
        <v>320</v>
      </c>
      <c r="I340" s="299">
        <v>455</v>
      </c>
      <c r="J340" s="298">
        <f>IF(OR(G340="ágazaton kívüli",G340="n.a."),2.2,IF(OR(E340=2,E340=3,E340=4),VLOOKUP(G340,Szakmaszorzók!$B$2:$D$25,2,0),VLOOKUP(G340,Szakmaszorzók!$B$2:$D$25,3,0)))</f>
        <v>2.2000000000000002</v>
      </c>
      <c r="K340" s="320">
        <f>'Támogatás szorzat tényezői'!$C$2*'Támogatás szorzat tényezői'!$C$5*J340*(H340/1000)</f>
        <v>253440.00000000003</v>
      </c>
      <c r="L340" s="300"/>
      <c r="M340" s="319">
        <f t="shared" si="5"/>
        <v>8</v>
      </c>
    </row>
    <row r="341" spans="1:13" ht="15.75" hidden="1" customHeight="1" x14ac:dyDescent="0.25">
      <c r="A341" s="319">
        <v>317</v>
      </c>
      <c r="B341" s="298" t="s">
        <v>3066</v>
      </c>
      <c r="C341" s="313" t="s">
        <v>3067</v>
      </c>
      <c r="D341" s="317" t="s">
        <v>3699</v>
      </c>
      <c r="E341" s="317" t="s">
        <v>3455</v>
      </c>
      <c r="F341" s="317" t="s">
        <v>3502</v>
      </c>
      <c r="G341" s="299" t="s">
        <v>1325</v>
      </c>
      <c r="H341" s="299">
        <v>320</v>
      </c>
      <c r="I341" s="299">
        <v>455</v>
      </c>
      <c r="J341" s="298">
        <f>IF(OR(G341="ágazaton kívüli",G341="n.a."),2.2,IF(OR(E341=2,E341=3,E341=4),VLOOKUP(G341,Szakmaszorzók!$B$2:$D$25,2,0),VLOOKUP(G341,Szakmaszorzók!$B$2:$D$25,3,0)))</f>
        <v>2.2000000000000002</v>
      </c>
      <c r="K341" s="320">
        <f>'Támogatás szorzat tényezői'!$C$2*'Támogatás szorzat tényezői'!$C$5*J341*(H341/1000)</f>
        <v>253440.00000000003</v>
      </c>
      <c r="L341" s="300"/>
      <c r="M341" s="319">
        <f t="shared" si="5"/>
        <v>8</v>
      </c>
    </row>
    <row r="342" spans="1:13" ht="15.75" hidden="1" customHeight="1" x14ac:dyDescent="0.25">
      <c r="A342" s="319">
        <v>318</v>
      </c>
      <c r="B342" s="298" t="s">
        <v>3707</v>
      </c>
      <c r="C342" s="313" t="s">
        <v>3078</v>
      </c>
      <c r="D342" s="317" t="s">
        <v>3699</v>
      </c>
      <c r="E342" s="317" t="s">
        <v>3455</v>
      </c>
      <c r="F342" s="317" t="s">
        <v>3466</v>
      </c>
      <c r="G342" s="299" t="s">
        <v>1325</v>
      </c>
      <c r="H342" s="299">
        <v>320</v>
      </c>
      <c r="I342" s="299">
        <v>455</v>
      </c>
      <c r="J342" s="298">
        <f>IF(OR(G342="ágazaton kívüli",G342="n.a."),2.2,IF(OR(E342=2,E342=3,E342=4),VLOOKUP(G342,Szakmaszorzók!$B$2:$D$25,2,0),VLOOKUP(G342,Szakmaszorzók!$B$2:$D$25,3,0)))</f>
        <v>2.2000000000000002</v>
      </c>
      <c r="K342" s="320">
        <f>'Támogatás szorzat tényezői'!$C$2*'Támogatás szorzat tényezői'!$C$5*J342*(H342/1000)</f>
        <v>253440.00000000003</v>
      </c>
      <c r="L342" s="300"/>
      <c r="M342" s="319">
        <f t="shared" si="5"/>
        <v>8</v>
      </c>
    </row>
    <row r="343" spans="1:13" ht="15.75" hidden="1" customHeight="1" x14ac:dyDescent="0.25">
      <c r="A343" s="319">
        <v>74</v>
      </c>
      <c r="B343" s="298" t="s">
        <v>319</v>
      </c>
      <c r="C343" s="313" t="s">
        <v>2906</v>
      </c>
      <c r="D343" s="317" t="s">
        <v>1384</v>
      </c>
      <c r="E343" s="317" t="s">
        <v>3455</v>
      </c>
      <c r="F343" s="317" t="s">
        <v>3502</v>
      </c>
      <c r="G343" s="299" t="s">
        <v>1285</v>
      </c>
      <c r="H343" s="299">
        <v>600</v>
      </c>
      <c r="I343" s="299">
        <v>660</v>
      </c>
      <c r="J343" s="298">
        <f>IF(OR(G343="ágazaton kívüli",G343="n.a."),2.2,IF(OR(E343=2,E343=3,E343=4),VLOOKUP(G343,Szakmaszorzók!$B$2:$D$25,2,0),VLOOKUP(G343,Szakmaszorzók!$B$2:$D$25,3,0)))</f>
        <v>2.2000000000000002</v>
      </c>
      <c r="K343" s="320">
        <f>'Támogatás szorzat tényezői'!$C$2*'Támogatás szorzat tényezői'!$C$5*J343*(H343/1000)</f>
        <v>475200.00000000006</v>
      </c>
      <c r="L343" s="300"/>
      <c r="M343" s="319">
        <f t="shared" si="5"/>
        <v>8</v>
      </c>
    </row>
    <row r="344" spans="1:13" ht="15.75" hidden="1" customHeight="1" x14ac:dyDescent="0.25">
      <c r="A344" s="319">
        <v>319</v>
      </c>
      <c r="B344" s="298" t="s">
        <v>3049</v>
      </c>
      <c r="C344" s="313" t="s">
        <v>3050</v>
      </c>
      <c r="D344" s="317" t="s">
        <v>3699</v>
      </c>
      <c r="E344" s="317" t="s">
        <v>3459</v>
      </c>
      <c r="F344" s="317" t="s">
        <v>3480</v>
      </c>
      <c r="G344" s="299" t="s">
        <v>1325</v>
      </c>
      <c r="H344" s="299">
        <v>190</v>
      </c>
      <c r="I344" s="299">
        <v>275</v>
      </c>
      <c r="J344" s="298">
        <f>IF(OR(G344="ágazaton kívüli",G344="n.a."),2.2,IF(OR(E344=2,E344=3,E344=4),VLOOKUP(G344,Szakmaszorzók!$B$2:$D$25,2,0),VLOOKUP(G344,Szakmaszorzók!$B$2:$D$25,3,0)))</f>
        <v>2.2000000000000002</v>
      </c>
      <c r="K344" s="320">
        <f>'Támogatás szorzat tényezői'!$C$2*'Támogatás szorzat tényezői'!$C$5*J344*(H344/1000)</f>
        <v>150480.00000000003</v>
      </c>
      <c r="L344" s="300"/>
      <c r="M344" s="319">
        <f t="shared" si="5"/>
        <v>8</v>
      </c>
    </row>
    <row r="345" spans="1:13" ht="15.75" hidden="1" customHeight="1" x14ac:dyDescent="0.25">
      <c r="A345" s="319">
        <v>320</v>
      </c>
      <c r="B345" s="298" t="s">
        <v>3051</v>
      </c>
      <c r="C345" s="313" t="s">
        <v>3052</v>
      </c>
      <c r="D345" s="317" t="s">
        <v>3699</v>
      </c>
      <c r="E345" s="317" t="s">
        <v>3459</v>
      </c>
      <c r="F345" s="317" t="s">
        <v>3460</v>
      </c>
      <c r="G345" s="299" t="s">
        <v>1325</v>
      </c>
      <c r="H345" s="299">
        <v>190</v>
      </c>
      <c r="I345" s="299">
        <v>275</v>
      </c>
      <c r="J345" s="298">
        <f>IF(OR(G345="ágazaton kívüli",G345="n.a."),2.2,IF(OR(E345=2,E345=3,E345=4),VLOOKUP(G345,Szakmaszorzók!$B$2:$D$25,2,0),VLOOKUP(G345,Szakmaszorzók!$B$2:$D$25,3,0)))</f>
        <v>2.2000000000000002</v>
      </c>
      <c r="K345" s="320">
        <f>'Támogatás szorzat tényezői'!$C$2*'Támogatás szorzat tényezői'!$C$5*J345*(H345/1000)</f>
        <v>150480.00000000003</v>
      </c>
      <c r="L345" s="300"/>
      <c r="M345" s="319">
        <f t="shared" si="5"/>
        <v>8</v>
      </c>
    </row>
    <row r="346" spans="1:13" ht="15.75" hidden="1" customHeight="1" x14ac:dyDescent="0.25">
      <c r="A346" s="319">
        <v>321</v>
      </c>
      <c r="B346" s="298" t="s">
        <v>3053</v>
      </c>
      <c r="C346" s="313" t="s">
        <v>3054</v>
      </c>
      <c r="D346" s="317" t="s">
        <v>3699</v>
      </c>
      <c r="E346" s="317" t="s">
        <v>3459</v>
      </c>
      <c r="F346" s="317" t="s">
        <v>3483</v>
      </c>
      <c r="G346" s="299" t="s">
        <v>1325</v>
      </c>
      <c r="H346" s="299">
        <v>190</v>
      </c>
      <c r="I346" s="299">
        <v>275</v>
      </c>
      <c r="J346" s="298">
        <f>IF(OR(G346="ágazaton kívüli",G346="n.a."),2.2,IF(OR(E346=2,E346=3,E346=4),VLOOKUP(G346,Szakmaszorzók!$B$2:$D$25,2,0),VLOOKUP(G346,Szakmaszorzók!$B$2:$D$25,3,0)))</f>
        <v>2.2000000000000002</v>
      </c>
      <c r="K346" s="320">
        <f>'Támogatás szorzat tényezői'!$C$2*'Támogatás szorzat tényezői'!$C$5*J346*(H346/1000)</f>
        <v>150480.00000000003</v>
      </c>
      <c r="L346" s="300"/>
      <c r="M346" s="319">
        <f t="shared" si="5"/>
        <v>8</v>
      </c>
    </row>
    <row r="347" spans="1:13" ht="15.75" hidden="1" customHeight="1" x14ac:dyDescent="0.25">
      <c r="A347" s="319">
        <v>322</v>
      </c>
      <c r="B347" s="298" t="s">
        <v>3059</v>
      </c>
      <c r="C347" s="313" t="s">
        <v>3060</v>
      </c>
      <c r="D347" s="317" t="s">
        <v>3699</v>
      </c>
      <c r="E347" s="317" t="s">
        <v>3459</v>
      </c>
      <c r="F347" s="317" t="s">
        <v>3470</v>
      </c>
      <c r="G347" s="299" t="s">
        <v>1325</v>
      </c>
      <c r="H347" s="299">
        <v>190</v>
      </c>
      <c r="I347" s="299">
        <v>275</v>
      </c>
      <c r="J347" s="298">
        <f>IF(OR(G347="ágazaton kívüli",G347="n.a."),2.2,IF(OR(E347=2,E347=3,E347=4),VLOOKUP(G347,Szakmaszorzók!$B$2:$D$25,2,0),VLOOKUP(G347,Szakmaszorzók!$B$2:$D$25,3,0)))</f>
        <v>2.2000000000000002</v>
      </c>
      <c r="K347" s="320">
        <f>'Támogatás szorzat tényezői'!$C$2*'Támogatás szorzat tényezői'!$C$5*J347*(H347/1000)</f>
        <v>150480.00000000003</v>
      </c>
      <c r="L347" s="300"/>
      <c r="M347" s="319">
        <f t="shared" si="5"/>
        <v>8</v>
      </c>
    </row>
    <row r="348" spans="1:13" ht="15.75" hidden="1" customHeight="1" x14ac:dyDescent="0.25">
      <c r="A348" s="319">
        <v>323</v>
      </c>
      <c r="B348" s="298" t="s">
        <v>3055</v>
      </c>
      <c r="C348" s="313" t="s">
        <v>3056</v>
      </c>
      <c r="D348" s="317" t="s">
        <v>3699</v>
      </c>
      <c r="E348" s="317" t="s">
        <v>3459</v>
      </c>
      <c r="F348" s="317" t="s">
        <v>3472</v>
      </c>
      <c r="G348" s="299" t="s">
        <v>1325</v>
      </c>
      <c r="H348" s="299">
        <v>190</v>
      </c>
      <c r="I348" s="299">
        <v>275</v>
      </c>
      <c r="J348" s="298">
        <f>IF(OR(G348="ágazaton kívüli",G348="n.a."),2.2,IF(OR(E348=2,E348=3,E348=4),VLOOKUP(G348,Szakmaszorzók!$B$2:$D$25,2,0),VLOOKUP(G348,Szakmaszorzók!$B$2:$D$25,3,0)))</f>
        <v>2.2000000000000002</v>
      </c>
      <c r="K348" s="320">
        <f>'Támogatás szorzat tényezői'!$C$2*'Támogatás szorzat tényezői'!$C$5*J348*(H348/1000)</f>
        <v>150480.00000000003</v>
      </c>
      <c r="L348" s="300"/>
      <c r="M348" s="319">
        <f t="shared" si="5"/>
        <v>8</v>
      </c>
    </row>
    <row r="349" spans="1:13" ht="15.75" hidden="1" customHeight="1" x14ac:dyDescent="0.25">
      <c r="A349" s="319">
        <v>324</v>
      </c>
      <c r="B349" s="298" t="s">
        <v>3057</v>
      </c>
      <c r="C349" s="313" t="s">
        <v>3058</v>
      </c>
      <c r="D349" s="317" t="s">
        <v>3699</v>
      </c>
      <c r="E349" s="317" t="s">
        <v>3459</v>
      </c>
      <c r="F349" s="317" t="s">
        <v>3467</v>
      </c>
      <c r="G349" s="299" t="s">
        <v>1325</v>
      </c>
      <c r="H349" s="299">
        <v>190</v>
      </c>
      <c r="I349" s="299">
        <v>275</v>
      </c>
      <c r="J349" s="298">
        <f>IF(OR(G349="ágazaton kívüli",G349="n.a."),2.2,IF(OR(E349=2,E349=3,E349=4),VLOOKUP(G349,Szakmaszorzók!$B$2:$D$25,2,0),VLOOKUP(G349,Szakmaszorzók!$B$2:$D$25,3,0)))</f>
        <v>2.2000000000000002</v>
      </c>
      <c r="K349" s="320">
        <f>'Támogatás szorzat tényezői'!$C$2*'Támogatás szorzat tényezői'!$C$5*J349*(H349/1000)</f>
        <v>150480.00000000003</v>
      </c>
      <c r="L349" s="300"/>
      <c r="M349" s="319">
        <f t="shared" si="5"/>
        <v>8</v>
      </c>
    </row>
    <row r="350" spans="1:13" ht="15.75" hidden="1" customHeight="1" x14ac:dyDescent="0.25">
      <c r="A350" s="319">
        <v>325</v>
      </c>
      <c r="B350" s="298" t="s">
        <v>3047</v>
      </c>
      <c r="C350" s="313" t="s">
        <v>3048</v>
      </c>
      <c r="D350" s="317" t="s">
        <v>3699</v>
      </c>
      <c r="E350" s="317" t="s">
        <v>3459</v>
      </c>
      <c r="F350" s="317" t="s">
        <v>3484</v>
      </c>
      <c r="G350" s="299" t="s">
        <v>1325</v>
      </c>
      <c r="H350" s="299">
        <v>190</v>
      </c>
      <c r="I350" s="299">
        <v>275</v>
      </c>
      <c r="J350" s="298">
        <f>IF(OR(G350="ágazaton kívüli",G350="n.a."),2.2,IF(OR(E350=2,E350=3,E350=4),VLOOKUP(G350,Szakmaszorzók!$B$2:$D$25,2,0),VLOOKUP(G350,Szakmaszorzók!$B$2:$D$25,3,0)))</f>
        <v>2.2000000000000002</v>
      </c>
      <c r="K350" s="320">
        <f>'Támogatás szorzat tényezői'!$C$2*'Támogatás szorzat tényezői'!$C$5*J350*(H350/1000)</f>
        <v>150480.00000000003</v>
      </c>
      <c r="L350" s="300"/>
      <c r="M350" s="319">
        <f t="shared" si="5"/>
        <v>8</v>
      </c>
    </row>
    <row r="351" spans="1:13" ht="15.75" hidden="1" customHeight="1" x14ac:dyDescent="0.25">
      <c r="A351" s="319">
        <v>326</v>
      </c>
      <c r="B351" s="298" t="s">
        <v>3041</v>
      </c>
      <c r="C351" s="313" t="s">
        <v>3042</v>
      </c>
      <c r="D351" s="317" t="s">
        <v>3699</v>
      </c>
      <c r="E351" s="317" t="s">
        <v>3459</v>
      </c>
      <c r="F351" s="317" t="s">
        <v>3456</v>
      </c>
      <c r="G351" s="299" t="s">
        <v>1325</v>
      </c>
      <c r="H351" s="299">
        <v>130</v>
      </c>
      <c r="I351" s="299">
        <v>190</v>
      </c>
      <c r="J351" s="298">
        <f>IF(OR(G351="ágazaton kívüli",G351="n.a."),2.2,IF(OR(E351=2,E351=3,E351=4),VLOOKUP(G351,Szakmaszorzók!$B$2:$D$25,2,0),VLOOKUP(G351,Szakmaszorzók!$B$2:$D$25,3,0)))</f>
        <v>2.2000000000000002</v>
      </c>
      <c r="K351" s="320">
        <f>'Támogatás szorzat tényezői'!$C$2*'Támogatás szorzat tényezői'!$C$5*J351*(H351/1000)</f>
        <v>102960.00000000001</v>
      </c>
      <c r="L351" s="300"/>
      <c r="M351" s="319">
        <f t="shared" si="5"/>
        <v>8</v>
      </c>
    </row>
    <row r="352" spans="1:13" ht="15.75" hidden="1" customHeight="1" x14ac:dyDescent="0.25">
      <c r="A352" s="319">
        <v>327</v>
      </c>
      <c r="B352" s="298" t="s">
        <v>3089</v>
      </c>
      <c r="C352" s="313" t="s">
        <v>3090</v>
      </c>
      <c r="D352" s="317" t="s">
        <v>3700</v>
      </c>
      <c r="E352" s="317" t="s">
        <v>3455</v>
      </c>
      <c r="F352" s="317" t="s">
        <v>3464</v>
      </c>
      <c r="G352" s="299" t="s">
        <v>1303</v>
      </c>
      <c r="H352" s="299">
        <v>800</v>
      </c>
      <c r="I352" s="299">
        <v>1000</v>
      </c>
      <c r="J352" s="298">
        <f>IF(OR(G352="ágazaton kívüli",G352="n.a."),2.2,IF(OR(E352=2,E352=3,E352=4),VLOOKUP(G352,Szakmaszorzók!$B$2:$D$25,2,0),VLOOKUP(G352,Szakmaszorzók!$B$2:$D$25,3,0)))</f>
        <v>2.2000000000000002</v>
      </c>
      <c r="K352" s="320">
        <f>'Támogatás szorzat tényezői'!$C$2*'Támogatás szorzat tényezői'!$C$5*J352*(H352/1000)</f>
        <v>633600.00000000012</v>
      </c>
      <c r="L352" s="300"/>
      <c r="M352" s="319">
        <f t="shared" si="5"/>
        <v>8</v>
      </c>
    </row>
    <row r="353" spans="1:13" ht="15.75" hidden="1" customHeight="1" x14ac:dyDescent="0.25">
      <c r="A353" s="319">
        <v>328</v>
      </c>
      <c r="B353" s="298" t="s">
        <v>3708</v>
      </c>
      <c r="C353" s="313" t="s">
        <v>3086</v>
      </c>
      <c r="D353" s="317" t="s">
        <v>3700</v>
      </c>
      <c r="E353" s="317" t="s">
        <v>3455</v>
      </c>
      <c r="F353" s="317" t="s">
        <v>3456</v>
      </c>
      <c r="G353" s="299" t="s">
        <v>1303</v>
      </c>
      <c r="H353" s="299">
        <v>200</v>
      </c>
      <c r="I353" s="299">
        <v>300</v>
      </c>
      <c r="J353" s="298">
        <f>IF(OR(G353="ágazaton kívüli",G353="n.a."),2.2,IF(OR(E353=2,E353=3,E353=4),VLOOKUP(G353,Szakmaszorzók!$B$2:$D$25,2,0),VLOOKUP(G353,Szakmaszorzók!$B$2:$D$25,3,0)))</f>
        <v>2.2000000000000002</v>
      </c>
      <c r="K353" s="320">
        <f>'Támogatás szorzat tényezői'!$C$2*'Támogatás szorzat tényezői'!$C$5*J353*(H353/1000)</f>
        <v>158400.00000000003</v>
      </c>
      <c r="L353" s="300"/>
      <c r="M353" s="319">
        <f t="shared" si="5"/>
        <v>8</v>
      </c>
    </row>
    <row r="354" spans="1:13" ht="15.75" hidden="1" customHeight="1" x14ac:dyDescent="0.25">
      <c r="A354" s="319">
        <v>370</v>
      </c>
      <c r="B354" s="298" t="s">
        <v>3120</v>
      </c>
      <c r="C354" s="313" t="s">
        <v>1633</v>
      </c>
      <c r="D354" s="317" t="s">
        <v>3735</v>
      </c>
      <c r="E354" s="317" t="s">
        <v>3458</v>
      </c>
      <c r="F354" s="317" t="s">
        <v>3456</v>
      </c>
      <c r="G354" s="299" t="s">
        <v>2806</v>
      </c>
      <c r="H354" s="299">
        <v>80</v>
      </c>
      <c r="I354" s="299">
        <v>120</v>
      </c>
      <c r="J354" s="298">
        <f>IF(OR(G354="ágazaton kívüli",G354="n.a."),2.2,IF(OR(E354=2,E354=3,E354=4),VLOOKUP(G354,Szakmaszorzók!$B$2:$D$25,2,0),VLOOKUP(G354,Szakmaszorzók!$B$2:$D$25,3,0)))</f>
        <v>2.2000000000000002</v>
      </c>
      <c r="K354" s="320">
        <f>'Támogatás szorzat tényezői'!$C$2*'Támogatás szorzat tényezői'!$C$5*J354*(H354/1000)</f>
        <v>63360.000000000007</v>
      </c>
      <c r="L354" s="300"/>
      <c r="M354" s="319">
        <f t="shared" si="5"/>
        <v>8</v>
      </c>
    </row>
    <row r="355" spans="1:13" ht="15.75" hidden="1" customHeight="1" x14ac:dyDescent="0.25">
      <c r="A355" s="319">
        <v>108</v>
      </c>
      <c r="B355" s="298" t="s">
        <v>2913</v>
      </c>
      <c r="C355" s="313" t="s">
        <v>1675</v>
      </c>
      <c r="D355" s="317" t="s">
        <v>1674</v>
      </c>
      <c r="E355" s="317" t="s">
        <v>3459</v>
      </c>
      <c r="F355" s="317" t="s">
        <v>3456</v>
      </c>
      <c r="G355" s="299" t="s">
        <v>1296</v>
      </c>
      <c r="H355" s="299">
        <v>320</v>
      </c>
      <c r="I355" s="299">
        <v>400</v>
      </c>
      <c r="J355" s="298">
        <f>IF(OR(G355="ágazaton kívüli",G355="n.a."),2.2,IF(OR(E355=2,E355=3,E355=4),VLOOKUP(G355,Szakmaszorzók!$B$2:$D$25,2,0),VLOOKUP(G355,Szakmaszorzók!$B$2:$D$25,3,0)))</f>
        <v>2.2000000000000002</v>
      </c>
      <c r="K355" s="320">
        <f>'Támogatás szorzat tényezői'!$C$2*'Támogatás szorzat tényezői'!$C$5*J355*(H355/1000)</f>
        <v>253440.00000000003</v>
      </c>
      <c r="L355" s="300"/>
      <c r="M355" s="319">
        <f t="shared" si="5"/>
        <v>8</v>
      </c>
    </row>
    <row r="356" spans="1:13" ht="15.75" hidden="1" customHeight="1" x14ac:dyDescent="0.25">
      <c r="A356" s="319">
        <v>419</v>
      </c>
      <c r="B356" s="298" t="s">
        <v>3158</v>
      </c>
      <c r="C356" s="313" t="s">
        <v>3159</v>
      </c>
      <c r="D356" s="317" t="s">
        <v>3739</v>
      </c>
      <c r="E356" s="317" t="s">
        <v>3458</v>
      </c>
      <c r="F356" s="317" t="s">
        <v>3480</v>
      </c>
      <c r="G356" s="7" t="s">
        <v>1373</v>
      </c>
      <c r="H356" s="296">
        <v>200</v>
      </c>
      <c r="I356" s="296">
        <v>250</v>
      </c>
      <c r="J356" s="298">
        <f>IF(OR(G356="ágazaton kívüli",G356="n.a."),2.2,IF(OR(E356=2,E356=3,E356=4),VLOOKUP(G356,Szakmaszorzók!$B$2:$D$25,2,0),VLOOKUP(G356,Szakmaszorzók!$B$2:$D$25,3,0)))</f>
        <v>2.2000000000000002</v>
      </c>
      <c r="K356" s="320">
        <f>'Támogatás szorzat tényezői'!$C$2*'Támogatás szorzat tényezői'!$C$5*J356*(H356/1000)</f>
        <v>158400.00000000003</v>
      </c>
      <c r="L356" s="300"/>
      <c r="M356" s="319">
        <f t="shared" si="5"/>
        <v>8</v>
      </c>
    </row>
    <row r="357" spans="1:13" ht="15.75" hidden="1" customHeight="1" x14ac:dyDescent="0.25">
      <c r="A357" s="319">
        <v>329</v>
      </c>
      <c r="B357" s="298" t="s">
        <v>3709</v>
      </c>
      <c r="C357" s="313" t="s">
        <v>3063</v>
      </c>
      <c r="D357" s="317" t="s">
        <v>3699</v>
      </c>
      <c r="E357" s="317" t="s">
        <v>3455</v>
      </c>
      <c r="F357" s="317" t="s">
        <v>3462</v>
      </c>
      <c r="G357" s="299" t="s">
        <v>1325</v>
      </c>
      <c r="H357" s="299">
        <v>200</v>
      </c>
      <c r="I357" s="299">
        <v>250</v>
      </c>
      <c r="J357" s="298">
        <f>IF(OR(G357="ágazaton kívüli",G357="n.a."),2.2,IF(OR(E357=2,E357=3,E357=4),VLOOKUP(G357,Szakmaszorzók!$B$2:$D$25,2,0),VLOOKUP(G357,Szakmaszorzók!$B$2:$D$25,3,0)))</f>
        <v>2.2000000000000002</v>
      </c>
      <c r="K357" s="320">
        <f>'Támogatás szorzat tényezői'!$C$2*'Támogatás szorzat tényezői'!$C$5*J357*(H357/1000)</f>
        <v>158400.00000000003</v>
      </c>
      <c r="L357" s="300"/>
      <c r="M357" s="319">
        <f t="shared" si="5"/>
        <v>8</v>
      </c>
    </row>
    <row r="358" spans="1:13" ht="15.75" hidden="1" customHeight="1" x14ac:dyDescent="0.25">
      <c r="A358" s="319">
        <v>109</v>
      </c>
      <c r="B358" s="298" t="s">
        <v>2920</v>
      </c>
      <c r="C358" s="313" t="s">
        <v>1678</v>
      </c>
      <c r="D358" s="317" t="s">
        <v>1281</v>
      </c>
      <c r="E358" s="317" t="s">
        <v>3459</v>
      </c>
      <c r="F358" s="317" t="s">
        <v>3471</v>
      </c>
      <c r="G358" s="299" t="s">
        <v>1298</v>
      </c>
      <c r="H358" s="299">
        <v>320</v>
      </c>
      <c r="I358" s="299">
        <v>400</v>
      </c>
      <c r="J358" s="298">
        <f>IF(OR(G358="ágazaton kívüli",G358="n.a."),2.2,IF(OR(E358=2,E358=3,E358=4),VLOOKUP(G358,Szakmaszorzók!$B$2:$D$25,2,0),VLOOKUP(G358,Szakmaszorzók!$B$2:$D$25,3,0)))</f>
        <v>2.42</v>
      </c>
      <c r="K358" s="320">
        <f>'Támogatás szorzat tényezői'!$C$2*'Támogatás szorzat tényezői'!$C$5*J358*(H358/1000)</f>
        <v>278784</v>
      </c>
      <c r="L358" s="300"/>
      <c r="M358" s="319">
        <f t="shared" si="5"/>
        <v>8</v>
      </c>
    </row>
    <row r="359" spans="1:13" ht="15.75" hidden="1" customHeight="1" x14ac:dyDescent="0.25">
      <c r="A359" s="319">
        <v>269</v>
      </c>
      <c r="B359" s="298" t="s">
        <v>3029</v>
      </c>
      <c r="C359" s="313" t="s">
        <v>1568</v>
      </c>
      <c r="D359" s="317" t="s">
        <v>3564</v>
      </c>
      <c r="E359" s="317" t="s">
        <v>3455</v>
      </c>
      <c r="F359" s="317" t="s">
        <v>3651</v>
      </c>
      <c r="G359" s="308" t="s">
        <v>1883</v>
      </c>
      <c r="H359" s="299">
        <v>480</v>
      </c>
      <c r="I359" s="299">
        <v>720</v>
      </c>
      <c r="J359" s="298">
        <f>IF(OR(G359="ágazaton kívüli",G359="n.a."),2.2,IF(OR(E359=2,E359=3,E359=4),VLOOKUP(G359,Szakmaszorzók!$B$2:$D$25,2,0),VLOOKUP(G359,Szakmaszorzók!$B$2:$D$25,3,0)))</f>
        <v>2.2000000000000002</v>
      </c>
      <c r="K359" s="320">
        <f>'Támogatás szorzat tényezői'!$C$2*'Támogatás szorzat tényezői'!$C$5*J359*(H359/1000)</f>
        <v>380160.00000000006</v>
      </c>
      <c r="L359" s="300"/>
      <c r="M359" s="319">
        <f t="shared" si="5"/>
        <v>8</v>
      </c>
    </row>
    <row r="360" spans="1:13" ht="15.75" hidden="1" customHeight="1" x14ac:dyDescent="0.25">
      <c r="A360" s="319">
        <v>270</v>
      </c>
      <c r="B360" s="298" t="s">
        <v>3030</v>
      </c>
      <c r="C360" s="313" t="s">
        <v>1569</v>
      </c>
      <c r="D360" s="317" t="s">
        <v>3564</v>
      </c>
      <c r="E360" s="317" t="s">
        <v>3455</v>
      </c>
      <c r="F360" s="317" t="s">
        <v>3652</v>
      </c>
      <c r="G360" s="308" t="s">
        <v>1883</v>
      </c>
      <c r="H360" s="299">
        <v>480</v>
      </c>
      <c r="I360" s="299">
        <v>720</v>
      </c>
      <c r="J360" s="298">
        <f>IF(OR(G360="ágazaton kívüli",G360="n.a."),2.2,IF(OR(E360=2,E360=3,E360=4),VLOOKUP(G360,Szakmaszorzók!$B$2:$D$25,2,0),VLOOKUP(G360,Szakmaszorzók!$B$2:$D$25,3,0)))</f>
        <v>2.2000000000000002</v>
      </c>
      <c r="K360" s="320">
        <f>'Támogatás szorzat tényezői'!$C$2*'Támogatás szorzat tényezői'!$C$5*J360*(H360/1000)</f>
        <v>380160.00000000006</v>
      </c>
      <c r="L360" s="300"/>
      <c r="M360" s="319">
        <f t="shared" si="5"/>
        <v>8</v>
      </c>
    </row>
    <row r="361" spans="1:13" ht="15.75" hidden="1" customHeight="1" x14ac:dyDescent="0.25">
      <c r="A361" s="319">
        <v>271</v>
      </c>
      <c r="B361" s="298" t="s">
        <v>3653</v>
      </c>
      <c r="C361" s="313" t="s">
        <v>1570</v>
      </c>
      <c r="D361" s="317" t="s">
        <v>3564</v>
      </c>
      <c r="E361" s="317" t="s">
        <v>3459</v>
      </c>
      <c r="F361" s="317" t="s">
        <v>3654</v>
      </c>
      <c r="G361" s="308" t="s">
        <v>1883</v>
      </c>
      <c r="H361" s="299">
        <v>960</v>
      </c>
      <c r="I361" s="299">
        <v>1440</v>
      </c>
      <c r="J361" s="298">
        <f>IF(OR(G361="ágazaton kívüli",G361="n.a."),2.2,IF(OR(E361=2,E361=3,E361=4),VLOOKUP(G361,Szakmaszorzók!$B$2:$D$25,2,0),VLOOKUP(G361,Szakmaszorzók!$B$2:$D$25,3,0)))</f>
        <v>2.2000000000000002</v>
      </c>
      <c r="K361" s="320">
        <f>'Támogatás szorzat tényezői'!$C$2*'Támogatás szorzat tényezői'!$C$5*J361*(H361/1000)</f>
        <v>760320.00000000012</v>
      </c>
      <c r="L361" s="300"/>
      <c r="M361" s="319">
        <f t="shared" si="5"/>
        <v>8</v>
      </c>
    </row>
    <row r="362" spans="1:13" ht="15.75" hidden="1" customHeight="1" x14ac:dyDescent="0.25">
      <c r="A362" s="319">
        <v>272</v>
      </c>
      <c r="B362" s="298" t="s">
        <v>3655</v>
      </c>
      <c r="C362" s="313" t="s">
        <v>1571</v>
      </c>
      <c r="D362" s="317" t="s">
        <v>3564</v>
      </c>
      <c r="E362" s="317" t="s">
        <v>3459</v>
      </c>
      <c r="F362" s="317" t="s">
        <v>3656</v>
      </c>
      <c r="G362" s="308" t="s">
        <v>1883</v>
      </c>
      <c r="H362" s="299">
        <v>960</v>
      </c>
      <c r="I362" s="299">
        <v>1440</v>
      </c>
      <c r="J362" s="298">
        <f>IF(OR(G362="ágazaton kívüli",G362="n.a."),2.2,IF(OR(E362=2,E362=3,E362=4),VLOOKUP(G362,Szakmaszorzók!$B$2:$D$25,2,0),VLOOKUP(G362,Szakmaszorzók!$B$2:$D$25,3,0)))</f>
        <v>2.2000000000000002</v>
      </c>
      <c r="K362" s="320">
        <f>'Támogatás szorzat tényezői'!$C$2*'Támogatás szorzat tényezői'!$C$5*J362*(H362/1000)</f>
        <v>760320.00000000012</v>
      </c>
      <c r="L362" s="300"/>
      <c r="M362" s="319">
        <f t="shared" si="5"/>
        <v>8</v>
      </c>
    </row>
    <row r="363" spans="1:13" ht="15.75" hidden="1" customHeight="1" x14ac:dyDescent="0.25">
      <c r="A363" s="319">
        <v>273</v>
      </c>
      <c r="B363" s="298" t="s">
        <v>3657</v>
      </c>
      <c r="C363" s="313" t="s">
        <v>1572</v>
      </c>
      <c r="D363" s="317" t="s">
        <v>3564</v>
      </c>
      <c r="E363" s="317" t="s">
        <v>3455</v>
      </c>
      <c r="F363" s="317" t="s">
        <v>3658</v>
      </c>
      <c r="G363" s="308" t="s">
        <v>1883</v>
      </c>
      <c r="H363" s="299">
        <v>922</v>
      </c>
      <c r="I363" s="299">
        <v>1106</v>
      </c>
      <c r="J363" s="298">
        <f>IF(OR(G363="ágazaton kívüli",G363="n.a."),2.2,IF(OR(E363=2,E363=3,E363=4),VLOOKUP(G363,Szakmaszorzók!$B$2:$D$25,2,0),VLOOKUP(G363,Szakmaszorzók!$B$2:$D$25,3,0)))</f>
        <v>2.2000000000000002</v>
      </c>
      <c r="K363" s="320">
        <f>'Támogatás szorzat tényezői'!$C$2*'Támogatás szorzat tényezői'!$C$5*J363*(H363/1000)</f>
        <v>730224.00000000012</v>
      </c>
      <c r="L363" s="300"/>
      <c r="M363" s="319">
        <f t="shared" si="5"/>
        <v>8</v>
      </c>
    </row>
    <row r="364" spans="1:13" ht="15.75" hidden="1" customHeight="1" x14ac:dyDescent="0.25">
      <c r="A364" s="319">
        <v>274</v>
      </c>
      <c r="B364" s="298" t="s">
        <v>3659</v>
      </c>
      <c r="C364" s="313" t="s">
        <v>1573</v>
      </c>
      <c r="D364" s="317" t="s">
        <v>3564</v>
      </c>
      <c r="E364" s="317" t="s">
        <v>3455</v>
      </c>
      <c r="F364" s="317" t="s">
        <v>3660</v>
      </c>
      <c r="G364" s="308" t="s">
        <v>1883</v>
      </c>
      <c r="H364" s="299">
        <v>922</v>
      </c>
      <c r="I364" s="299">
        <v>1106</v>
      </c>
      <c r="J364" s="298">
        <f>IF(OR(G364="ágazaton kívüli",G364="n.a."),2.2,IF(OR(E364=2,E364=3,E364=4),VLOOKUP(G364,Szakmaszorzók!$B$2:$D$25,2,0),VLOOKUP(G364,Szakmaszorzók!$B$2:$D$25,3,0)))</f>
        <v>2.2000000000000002</v>
      </c>
      <c r="K364" s="320">
        <f>'Támogatás szorzat tényezői'!$C$2*'Támogatás szorzat tényezői'!$C$5*J364*(H364/1000)</f>
        <v>730224.00000000012</v>
      </c>
      <c r="L364" s="300"/>
      <c r="M364" s="319">
        <f t="shared" si="5"/>
        <v>8</v>
      </c>
    </row>
    <row r="365" spans="1:13" ht="15.75" hidden="1" customHeight="1" x14ac:dyDescent="0.25">
      <c r="A365" s="319">
        <v>275</v>
      </c>
      <c r="B365" s="298" t="s">
        <v>3661</v>
      </c>
      <c r="C365" s="313" t="s">
        <v>1574</v>
      </c>
      <c r="D365" s="317" t="s">
        <v>3564</v>
      </c>
      <c r="E365" s="317" t="s">
        <v>3455</v>
      </c>
      <c r="F365" s="317" t="s">
        <v>3662</v>
      </c>
      <c r="G365" s="308" t="s">
        <v>1883</v>
      </c>
      <c r="H365" s="299">
        <v>922</v>
      </c>
      <c r="I365" s="299">
        <v>1106</v>
      </c>
      <c r="J365" s="298">
        <f>IF(OR(G365="ágazaton kívüli",G365="n.a."),2.2,IF(OR(E365=2,E365=3,E365=4),VLOOKUP(G365,Szakmaszorzók!$B$2:$D$25,2,0),VLOOKUP(G365,Szakmaszorzók!$B$2:$D$25,3,0)))</f>
        <v>2.2000000000000002</v>
      </c>
      <c r="K365" s="320">
        <f>'Támogatás szorzat tényezői'!$C$2*'Támogatás szorzat tényezői'!$C$5*J365*(H365/1000)</f>
        <v>730224.00000000012</v>
      </c>
      <c r="L365" s="300"/>
      <c r="M365" s="319">
        <f t="shared" si="5"/>
        <v>8</v>
      </c>
    </row>
    <row r="366" spans="1:13" ht="15.75" hidden="1" customHeight="1" x14ac:dyDescent="0.25">
      <c r="A366" s="319">
        <v>276</v>
      </c>
      <c r="B366" s="298" t="s">
        <v>3663</v>
      </c>
      <c r="C366" s="313" t="s">
        <v>1575</v>
      </c>
      <c r="D366" s="317" t="s">
        <v>3564</v>
      </c>
      <c r="E366" s="317" t="s">
        <v>3455</v>
      </c>
      <c r="F366" s="317" t="s">
        <v>3664</v>
      </c>
      <c r="G366" s="308" t="s">
        <v>1883</v>
      </c>
      <c r="H366" s="299">
        <v>922</v>
      </c>
      <c r="I366" s="299">
        <v>1106</v>
      </c>
      <c r="J366" s="298">
        <f>IF(OR(G366="ágazaton kívüli",G366="n.a."),2.2,IF(OR(E366=2,E366=3,E366=4),VLOOKUP(G366,Szakmaszorzók!$B$2:$D$25,2,0),VLOOKUP(G366,Szakmaszorzók!$B$2:$D$25,3,0)))</f>
        <v>2.2000000000000002</v>
      </c>
      <c r="K366" s="320">
        <f>'Támogatás szorzat tényezői'!$C$2*'Támogatás szorzat tényezői'!$C$5*J366*(H366/1000)</f>
        <v>730224.00000000012</v>
      </c>
      <c r="L366" s="300"/>
      <c r="M366" s="319">
        <f t="shared" si="5"/>
        <v>8</v>
      </c>
    </row>
    <row r="367" spans="1:13" ht="15.75" hidden="1" customHeight="1" x14ac:dyDescent="0.25">
      <c r="A367" s="319">
        <v>277</v>
      </c>
      <c r="B367" s="298" t="s">
        <v>3665</v>
      </c>
      <c r="C367" s="313" t="s">
        <v>1576</v>
      </c>
      <c r="D367" s="317" t="s">
        <v>3564</v>
      </c>
      <c r="E367" s="317" t="s">
        <v>3455</v>
      </c>
      <c r="F367" s="317" t="s">
        <v>3666</v>
      </c>
      <c r="G367" s="308" t="s">
        <v>1883</v>
      </c>
      <c r="H367" s="299">
        <v>922</v>
      </c>
      <c r="I367" s="299">
        <v>1106</v>
      </c>
      <c r="J367" s="298">
        <f>IF(OR(G367="ágazaton kívüli",G367="n.a."),2.2,IF(OR(E367=2,E367=3,E367=4),VLOOKUP(G367,Szakmaszorzók!$B$2:$D$25,2,0),VLOOKUP(G367,Szakmaszorzók!$B$2:$D$25,3,0)))</f>
        <v>2.2000000000000002</v>
      </c>
      <c r="K367" s="320">
        <f>'Támogatás szorzat tényezői'!$C$2*'Támogatás szorzat tényezői'!$C$5*J367*(H367/1000)</f>
        <v>730224.00000000012</v>
      </c>
      <c r="L367" s="300"/>
      <c r="M367" s="319">
        <f t="shared" si="5"/>
        <v>8</v>
      </c>
    </row>
    <row r="368" spans="1:13" ht="15.75" hidden="1" customHeight="1" x14ac:dyDescent="0.25">
      <c r="A368" s="319">
        <v>278</v>
      </c>
      <c r="B368" s="298" t="s">
        <v>3667</v>
      </c>
      <c r="C368" s="313" t="s">
        <v>1577</v>
      </c>
      <c r="D368" s="317" t="s">
        <v>3564</v>
      </c>
      <c r="E368" s="317" t="s">
        <v>3455</v>
      </c>
      <c r="F368" s="317" t="s">
        <v>3668</v>
      </c>
      <c r="G368" s="308" t="s">
        <v>1883</v>
      </c>
      <c r="H368" s="299">
        <v>922</v>
      </c>
      <c r="I368" s="299">
        <v>1106</v>
      </c>
      <c r="J368" s="298">
        <f>IF(OR(G368="ágazaton kívüli",G368="n.a."),2.2,IF(OR(E368=2,E368=3,E368=4),VLOOKUP(G368,Szakmaszorzók!$B$2:$D$25,2,0),VLOOKUP(G368,Szakmaszorzók!$B$2:$D$25,3,0)))</f>
        <v>2.2000000000000002</v>
      </c>
      <c r="K368" s="320">
        <f>'Támogatás szorzat tényezői'!$C$2*'Támogatás szorzat tényezői'!$C$5*J368*(H368/1000)</f>
        <v>730224.00000000012</v>
      </c>
      <c r="L368" s="300"/>
      <c r="M368" s="319">
        <f t="shared" si="5"/>
        <v>8</v>
      </c>
    </row>
    <row r="369" spans="1:13" ht="15.75" hidden="1" customHeight="1" x14ac:dyDescent="0.25">
      <c r="A369" s="319">
        <v>279</v>
      </c>
      <c r="B369" s="298" t="s">
        <v>3669</v>
      </c>
      <c r="C369" s="313" t="s">
        <v>1578</v>
      </c>
      <c r="D369" s="317" t="s">
        <v>3564</v>
      </c>
      <c r="E369" s="317" t="s">
        <v>3459</v>
      </c>
      <c r="F369" s="317" t="s">
        <v>3670</v>
      </c>
      <c r="G369" s="308" t="s">
        <v>1883</v>
      </c>
      <c r="H369" s="299">
        <v>2125</v>
      </c>
      <c r="I369" s="299">
        <v>2181</v>
      </c>
      <c r="J369" s="298">
        <f>IF(OR(G369="ágazaton kívüli",G369="n.a."),2.2,IF(OR(E369=2,E369=3,E369=4),VLOOKUP(G369,Szakmaszorzók!$B$2:$D$25,2,0),VLOOKUP(G369,Szakmaszorzók!$B$2:$D$25,3,0)))</f>
        <v>2.2000000000000002</v>
      </c>
      <c r="K369" s="320">
        <f>'Támogatás szorzat tényezői'!$C$2*'Támogatás szorzat tényezői'!$C$5*J369*(H369/1000)</f>
        <v>1683000.0000000002</v>
      </c>
      <c r="L369" s="300"/>
      <c r="M369" s="319">
        <f t="shared" si="5"/>
        <v>8</v>
      </c>
    </row>
    <row r="370" spans="1:13" ht="15.75" hidden="1" customHeight="1" x14ac:dyDescent="0.25">
      <c r="A370" s="319">
        <v>280</v>
      </c>
      <c r="B370" s="298" t="s">
        <v>3671</v>
      </c>
      <c r="C370" s="313" t="s">
        <v>1579</v>
      </c>
      <c r="D370" s="317" t="s">
        <v>3564</v>
      </c>
      <c r="E370" s="317" t="s">
        <v>3459</v>
      </c>
      <c r="F370" s="317" t="s">
        <v>3672</v>
      </c>
      <c r="G370" s="308" t="s">
        <v>1883</v>
      </c>
      <c r="H370" s="299">
        <v>2125</v>
      </c>
      <c r="I370" s="299">
        <v>2181</v>
      </c>
      <c r="J370" s="298">
        <f>IF(OR(G370="ágazaton kívüli",G370="n.a."),2.2,IF(OR(E370=2,E370=3,E370=4),VLOOKUP(G370,Szakmaszorzók!$B$2:$D$25,2,0),VLOOKUP(G370,Szakmaszorzók!$B$2:$D$25,3,0)))</f>
        <v>2.2000000000000002</v>
      </c>
      <c r="K370" s="320">
        <f>'Támogatás szorzat tényezői'!$C$2*'Támogatás szorzat tényezői'!$C$5*J370*(H370/1000)</f>
        <v>1683000.0000000002</v>
      </c>
      <c r="L370" s="300"/>
      <c r="M370" s="319">
        <f t="shared" si="5"/>
        <v>8</v>
      </c>
    </row>
    <row r="371" spans="1:13" ht="15.75" hidden="1" customHeight="1" x14ac:dyDescent="0.25">
      <c r="A371" s="319">
        <v>281</v>
      </c>
      <c r="B371" s="298" t="s">
        <v>3013</v>
      </c>
      <c r="C371" s="313" t="s">
        <v>1580</v>
      </c>
      <c r="D371" s="317" t="s">
        <v>3564</v>
      </c>
      <c r="E371" s="317" t="s">
        <v>3459</v>
      </c>
      <c r="F371" s="317" t="s">
        <v>3673</v>
      </c>
      <c r="G371" s="308" t="s">
        <v>1883</v>
      </c>
      <c r="H371" s="299">
        <v>2125</v>
      </c>
      <c r="I371" s="299">
        <v>2181</v>
      </c>
      <c r="J371" s="298">
        <f>IF(OR(G371="ágazaton kívüli",G371="n.a."),2.2,IF(OR(E371=2,E371=3,E371=4),VLOOKUP(G371,Szakmaszorzók!$B$2:$D$25,2,0),VLOOKUP(G371,Szakmaszorzók!$B$2:$D$25,3,0)))</f>
        <v>2.2000000000000002</v>
      </c>
      <c r="K371" s="320">
        <f>'Támogatás szorzat tényezői'!$C$2*'Támogatás szorzat tényezői'!$C$5*J371*(H371/1000)</f>
        <v>1683000.0000000002</v>
      </c>
      <c r="L371" s="300"/>
      <c r="M371" s="319">
        <f t="shared" si="5"/>
        <v>8</v>
      </c>
    </row>
    <row r="372" spans="1:13" ht="15.75" hidden="1" customHeight="1" x14ac:dyDescent="0.25">
      <c r="A372" s="319">
        <v>282</v>
      </c>
      <c r="B372" s="298" t="s">
        <v>3674</v>
      </c>
      <c r="C372" s="313" t="s">
        <v>1581</v>
      </c>
      <c r="D372" s="317" t="s">
        <v>3564</v>
      </c>
      <c r="E372" s="317" t="s">
        <v>3459</v>
      </c>
      <c r="F372" s="317" t="s">
        <v>3675</v>
      </c>
      <c r="G372" s="308" t="s">
        <v>1883</v>
      </c>
      <c r="H372" s="299">
        <v>2125</v>
      </c>
      <c r="I372" s="299">
        <v>2181</v>
      </c>
      <c r="J372" s="298">
        <f>IF(OR(G372="ágazaton kívüli",G372="n.a."),2.2,IF(OR(E372=2,E372=3,E372=4),VLOOKUP(G372,Szakmaszorzók!$B$2:$D$25,2,0),VLOOKUP(G372,Szakmaszorzók!$B$2:$D$25,3,0)))</f>
        <v>2.2000000000000002</v>
      </c>
      <c r="K372" s="320">
        <f>'Támogatás szorzat tényezői'!$C$2*'Támogatás szorzat tényezői'!$C$5*J372*(H372/1000)</f>
        <v>1683000.0000000002</v>
      </c>
      <c r="L372" s="300"/>
      <c r="M372" s="319">
        <f t="shared" si="5"/>
        <v>8</v>
      </c>
    </row>
    <row r="373" spans="1:13" ht="15.75" hidden="1" customHeight="1" x14ac:dyDescent="0.25">
      <c r="A373" s="319">
        <v>283</v>
      </c>
      <c r="B373" s="298" t="s">
        <v>3676</v>
      </c>
      <c r="C373" s="313" t="s">
        <v>1582</v>
      </c>
      <c r="D373" s="317" t="s">
        <v>3564</v>
      </c>
      <c r="E373" s="317" t="s">
        <v>3459</v>
      </c>
      <c r="F373" s="317" t="s">
        <v>3677</v>
      </c>
      <c r="G373" s="308" t="s">
        <v>1883</v>
      </c>
      <c r="H373" s="299">
        <v>2125</v>
      </c>
      <c r="I373" s="299">
        <v>2181</v>
      </c>
      <c r="J373" s="298">
        <f>IF(OR(G373="ágazaton kívüli",G373="n.a."),2.2,IF(OR(E373=2,E373=3,E373=4),VLOOKUP(G373,Szakmaszorzók!$B$2:$D$25,2,0),VLOOKUP(G373,Szakmaszorzók!$B$2:$D$25,3,0)))</f>
        <v>2.2000000000000002</v>
      </c>
      <c r="K373" s="320">
        <f>'Támogatás szorzat tényezői'!$C$2*'Támogatás szorzat tényezői'!$C$5*J373*(H373/1000)</f>
        <v>1683000.0000000002</v>
      </c>
      <c r="L373" s="300"/>
      <c r="M373" s="319">
        <f t="shared" si="5"/>
        <v>8</v>
      </c>
    </row>
    <row r="374" spans="1:13" ht="15.75" hidden="1" customHeight="1" x14ac:dyDescent="0.25">
      <c r="A374" s="319">
        <v>284</v>
      </c>
      <c r="B374" s="298" t="s">
        <v>3678</v>
      </c>
      <c r="C374" s="313" t="s">
        <v>1583</v>
      </c>
      <c r="D374" s="317" t="s">
        <v>3564</v>
      </c>
      <c r="E374" s="317" t="s">
        <v>3459</v>
      </c>
      <c r="F374" s="317" t="s">
        <v>3679</v>
      </c>
      <c r="G374" s="308" t="s">
        <v>1883</v>
      </c>
      <c r="H374" s="299">
        <v>2125</v>
      </c>
      <c r="I374" s="299">
        <v>2181</v>
      </c>
      <c r="J374" s="298">
        <f>IF(OR(G374="ágazaton kívüli",G374="n.a."),2.2,IF(OR(E374=2,E374=3,E374=4),VLOOKUP(G374,Szakmaszorzók!$B$2:$D$25,2,0),VLOOKUP(G374,Szakmaszorzók!$B$2:$D$25,3,0)))</f>
        <v>2.2000000000000002</v>
      </c>
      <c r="K374" s="320">
        <f>'Támogatás szorzat tényezői'!$C$2*'Támogatás szorzat tényezői'!$C$5*J374*(H374/1000)</f>
        <v>1683000.0000000002</v>
      </c>
      <c r="L374" s="300"/>
      <c r="M374" s="319">
        <f t="shared" si="5"/>
        <v>8</v>
      </c>
    </row>
    <row r="375" spans="1:13" ht="15.75" hidden="1" customHeight="1" x14ac:dyDescent="0.25">
      <c r="A375" s="319">
        <v>110</v>
      </c>
      <c r="B375" s="298" t="s">
        <v>3538</v>
      </c>
      <c r="C375" s="313" t="s">
        <v>1584</v>
      </c>
      <c r="D375" s="317" t="s">
        <v>1299</v>
      </c>
      <c r="E375" s="317" t="s">
        <v>3459</v>
      </c>
      <c r="F375" s="317" t="s">
        <v>3502</v>
      </c>
      <c r="G375" s="299" t="s">
        <v>1298</v>
      </c>
      <c r="H375" s="299">
        <v>600</v>
      </c>
      <c r="I375" s="299">
        <v>800</v>
      </c>
      <c r="J375" s="298">
        <f>IF(OR(G375="ágazaton kívüli",G375="n.a."),2.2,IF(OR(E375=2,E375=3,E375=4),VLOOKUP(G375,Szakmaszorzók!$B$2:$D$25,2,0),VLOOKUP(G375,Szakmaszorzók!$B$2:$D$25,3,0)))</f>
        <v>2.42</v>
      </c>
      <c r="K375" s="320">
        <f>'Támogatás szorzat tényezői'!$C$2*'Támogatás szorzat tényezői'!$C$5*J375*(H375/1000)</f>
        <v>522720</v>
      </c>
      <c r="L375" s="300"/>
      <c r="M375" s="319">
        <f t="shared" si="5"/>
        <v>8</v>
      </c>
    </row>
    <row r="376" spans="1:13" ht="15.75" hidden="1" customHeight="1" x14ac:dyDescent="0.25">
      <c r="A376" s="319">
        <v>285</v>
      </c>
      <c r="B376" s="298" t="s">
        <v>3680</v>
      </c>
      <c r="C376" s="313" t="s">
        <v>1585</v>
      </c>
      <c r="D376" s="317" t="s">
        <v>3564</v>
      </c>
      <c r="E376" s="317" t="s">
        <v>3455</v>
      </c>
      <c r="F376" s="317" t="s">
        <v>3681</v>
      </c>
      <c r="G376" s="308" t="s">
        <v>1883</v>
      </c>
      <c r="H376" s="308" t="s">
        <v>1883</v>
      </c>
      <c r="I376" s="308" t="s">
        <v>1883</v>
      </c>
      <c r="J376" s="298">
        <f>IF(OR(G376="ágazaton kívüli",G376="n.a."),2.2,IF(OR(E376=2,E376=3,E376=4),VLOOKUP(G376,Szakmaszorzók!$B$2:$D$25,2,0),VLOOKUP(G376,Szakmaszorzók!$B$2:$D$25,3,0)))</f>
        <v>2.2000000000000002</v>
      </c>
      <c r="K376" s="320" t="e">
        <f>'Támogatás szorzat tényezői'!$C$2*'Támogatás szorzat tényezői'!$C$5*J376*(H376/1000)</f>
        <v>#VALUE!</v>
      </c>
      <c r="L376" s="300"/>
      <c r="M376" s="319">
        <f t="shared" si="5"/>
        <v>8</v>
      </c>
    </row>
    <row r="377" spans="1:13" ht="15.75" hidden="1" customHeight="1" x14ac:dyDescent="0.25">
      <c r="A377" s="319">
        <v>286</v>
      </c>
      <c r="B377" s="298" t="s">
        <v>3682</v>
      </c>
      <c r="C377" s="313" t="s">
        <v>1586</v>
      </c>
      <c r="D377" s="317" t="s">
        <v>3564</v>
      </c>
      <c r="E377" s="317" t="s">
        <v>3455</v>
      </c>
      <c r="F377" s="317" t="s">
        <v>3683</v>
      </c>
      <c r="G377" s="308" t="s">
        <v>1883</v>
      </c>
      <c r="H377" s="308" t="s">
        <v>1883</v>
      </c>
      <c r="I377" s="308" t="s">
        <v>1883</v>
      </c>
      <c r="J377" s="298">
        <f>IF(OR(G377="ágazaton kívüli",G377="n.a."),2.2,IF(OR(E377=2,E377=3,E377=4),VLOOKUP(G377,Szakmaszorzók!$B$2:$D$25,2,0),VLOOKUP(G377,Szakmaszorzók!$B$2:$D$25,3,0)))</f>
        <v>2.2000000000000002</v>
      </c>
      <c r="K377" s="320" t="e">
        <f>'Támogatás szorzat tényezői'!$C$2*'Támogatás szorzat tényezői'!$C$5*J377*(H377/1000)</f>
        <v>#VALUE!</v>
      </c>
      <c r="L377" s="300"/>
      <c r="M377" s="319">
        <f t="shared" si="5"/>
        <v>8</v>
      </c>
    </row>
    <row r="378" spans="1:13" ht="15.75" hidden="1" customHeight="1" x14ac:dyDescent="0.25">
      <c r="A378" s="319">
        <v>287</v>
      </c>
      <c r="B378" s="298" t="s">
        <v>3684</v>
      </c>
      <c r="C378" s="313" t="s">
        <v>1587</v>
      </c>
      <c r="D378" s="317" t="s">
        <v>3564</v>
      </c>
      <c r="E378" s="317" t="s">
        <v>3455</v>
      </c>
      <c r="F378" s="317" t="s">
        <v>3685</v>
      </c>
      <c r="G378" s="308" t="s">
        <v>1883</v>
      </c>
      <c r="H378" s="308" t="s">
        <v>1883</v>
      </c>
      <c r="I378" s="308" t="s">
        <v>1883</v>
      </c>
      <c r="J378" s="298">
        <f>IF(OR(G378="ágazaton kívüli",G378="n.a."),2.2,IF(OR(E378=2,E378=3,E378=4),VLOOKUP(G378,Szakmaszorzók!$B$2:$D$25,2,0),VLOOKUP(G378,Szakmaszorzók!$B$2:$D$25,3,0)))</f>
        <v>2.2000000000000002</v>
      </c>
      <c r="K378" s="320" t="e">
        <f>'Támogatás szorzat tényezői'!$C$2*'Támogatás szorzat tényezői'!$C$5*J378*(H378/1000)</f>
        <v>#VALUE!</v>
      </c>
      <c r="L378" s="300"/>
      <c r="M378" s="319">
        <f t="shared" si="5"/>
        <v>8</v>
      </c>
    </row>
    <row r="379" spans="1:13" ht="15.75" hidden="1" customHeight="1" x14ac:dyDescent="0.25">
      <c r="A379" s="319">
        <v>288</v>
      </c>
      <c r="B379" s="298" t="s">
        <v>3686</v>
      </c>
      <c r="C379" s="313" t="s">
        <v>1588</v>
      </c>
      <c r="D379" s="317" t="s">
        <v>3564</v>
      </c>
      <c r="E379" s="317" t="s">
        <v>3455</v>
      </c>
      <c r="F379" s="317" t="s">
        <v>3687</v>
      </c>
      <c r="G379" s="308" t="s">
        <v>1883</v>
      </c>
      <c r="H379" s="308" t="s">
        <v>1883</v>
      </c>
      <c r="I379" s="308" t="s">
        <v>1883</v>
      </c>
      <c r="J379" s="298">
        <f>IF(OR(G379="ágazaton kívüli",G379="n.a."),2.2,IF(OR(E379=2,E379=3,E379=4),VLOOKUP(G379,Szakmaszorzók!$B$2:$D$25,2,0),VLOOKUP(G379,Szakmaszorzók!$B$2:$D$25,3,0)))</f>
        <v>2.2000000000000002</v>
      </c>
      <c r="K379" s="320" t="e">
        <f>'Támogatás szorzat tényezői'!$C$2*'Támogatás szorzat tényezői'!$C$5*J379*(H379/1000)</f>
        <v>#VALUE!</v>
      </c>
      <c r="L379" s="300"/>
      <c r="M379" s="319">
        <f t="shared" si="5"/>
        <v>8</v>
      </c>
    </row>
    <row r="380" spans="1:13" ht="15.75" hidden="1" customHeight="1" x14ac:dyDescent="0.25">
      <c r="A380" s="319">
        <v>289</v>
      </c>
      <c r="B380" s="298" t="s">
        <v>3688</v>
      </c>
      <c r="C380" s="313" t="s">
        <v>1589</v>
      </c>
      <c r="D380" s="317" t="s">
        <v>3564</v>
      </c>
      <c r="E380" s="317" t="s">
        <v>3459</v>
      </c>
      <c r="F380" s="317" t="s">
        <v>3689</v>
      </c>
      <c r="G380" s="308" t="s">
        <v>1883</v>
      </c>
      <c r="H380" s="308" t="s">
        <v>1883</v>
      </c>
      <c r="I380" s="308" t="s">
        <v>1883</v>
      </c>
      <c r="J380" s="298">
        <f>IF(OR(G380="ágazaton kívüli",G380="n.a."),2.2,IF(OR(E380=2,E380=3,E380=4),VLOOKUP(G380,Szakmaszorzók!$B$2:$D$25,2,0),VLOOKUP(G380,Szakmaszorzók!$B$2:$D$25,3,0)))</f>
        <v>2.2000000000000002</v>
      </c>
      <c r="K380" s="320" t="e">
        <f>'Támogatás szorzat tényezői'!$C$2*'Támogatás szorzat tényezői'!$C$5*J380*(H380/1000)</f>
        <v>#VALUE!</v>
      </c>
      <c r="L380" s="300"/>
      <c r="M380" s="319">
        <f t="shared" si="5"/>
        <v>8</v>
      </c>
    </row>
    <row r="381" spans="1:13" ht="15.75" hidden="1" customHeight="1" x14ac:dyDescent="0.25">
      <c r="A381" s="319">
        <v>290</v>
      </c>
      <c r="B381" s="303" t="s">
        <v>3690</v>
      </c>
      <c r="C381" s="313" t="s">
        <v>1590</v>
      </c>
      <c r="D381" s="317" t="s">
        <v>3564</v>
      </c>
      <c r="E381" s="317" t="s">
        <v>3459</v>
      </c>
      <c r="F381" s="317" t="s">
        <v>3691</v>
      </c>
      <c r="G381" s="308" t="s">
        <v>1883</v>
      </c>
      <c r="H381" s="308" t="s">
        <v>1883</v>
      </c>
      <c r="I381" s="308" t="s">
        <v>3692</v>
      </c>
      <c r="J381" s="298">
        <f>IF(OR(G381="ágazaton kívüli",G381="n.a."),2.2,IF(OR(E381=2,E381=3,E381=4),VLOOKUP(G381,Szakmaszorzók!$B$2:$D$25,2,0),VLOOKUP(G381,Szakmaszorzók!$B$2:$D$25,3,0)))</f>
        <v>2.2000000000000002</v>
      </c>
      <c r="K381" s="320" t="e">
        <f>'Támogatás szorzat tényezői'!$C$2*'Támogatás szorzat tényezői'!$C$5*J381*(H381/1000)</f>
        <v>#VALUE!</v>
      </c>
      <c r="L381" s="300"/>
      <c r="M381" s="319">
        <f t="shared" si="5"/>
        <v>8</v>
      </c>
    </row>
    <row r="382" spans="1:13" ht="15.75" hidden="1" customHeight="1" x14ac:dyDescent="0.25">
      <c r="A382" s="319">
        <v>291</v>
      </c>
      <c r="B382" s="298" t="s">
        <v>3693</v>
      </c>
      <c r="C382" s="313" t="s">
        <v>1591</v>
      </c>
      <c r="D382" s="317" t="s">
        <v>3564</v>
      </c>
      <c r="E382" s="317" t="s">
        <v>3459</v>
      </c>
      <c r="F382" s="317" t="s">
        <v>3694</v>
      </c>
      <c r="G382" s="308" t="s">
        <v>1883</v>
      </c>
      <c r="H382" s="308" t="s">
        <v>1883</v>
      </c>
      <c r="I382" s="308" t="s">
        <v>1883</v>
      </c>
      <c r="J382" s="298">
        <f>IF(OR(G382="ágazaton kívüli",G382="n.a."),2.2,IF(OR(E382=2,E382=3,E382=4),VLOOKUP(G382,Szakmaszorzók!$B$2:$D$25,2,0),VLOOKUP(G382,Szakmaszorzók!$B$2:$D$25,3,0)))</f>
        <v>2.2000000000000002</v>
      </c>
      <c r="K382" s="320" t="e">
        <f>'Támogatás szorzat tényezői'!$C$2*'Támogatás szorzat tényezői'!$C$5*J382*(H382/1000)</f>
        <v>#VALUE!</v>
      </c>
      <c r="L382" s="300"/>
      <c r="M382" s="319">
        <f t="shared" si="5"/>
        <v>8</v>
      </c>
    </row>
    <row r="383" spans="1:13" ht="15.75" hidden="1" customHeight="1" x14ac:dyDescent="0.25">
      <c r="A383" s="319">
        <v>292</v>
      </c>
      <c r="B383" s="298" t="s">
        <v>3014</v>
      </c>
      <c r="C383" s="313" t="s">
        <v>1592</v>
      </c>
      <c r="D383" s="317" t="s">
        <v>3564</v>
      </c>
      <c r="E383" s="317" t="s">
        <v>3459</v>
      </c>
      <c r="F383" s="317" t="s">
        <v>3695</v>
      </c>
      <c r="G383" s="308" t="s">
        <v>1883</v>
      </c>
      <c r="H383" s="308" t="s">
        <v>1883</v>
      </c>
      <c r="I383" s="308" t="s">
        <v>1883</v>
      </c>
      <c r="J383" s="298">
        <f>IF(OR(G383="ágazaton kívüli",G383="n.a."),2.2,IF(OR(E383=2,E383=3,E383=4),VLOOKUP(G383,Szakmaszorzók!$B$2:$D$25,2,0),VLOOKUP(G383,Szakmaszorzók!$B$2:$D$25,3,0)))</f>
        <v>2.2000000000000002</v>
      </c>
      <c r="K383" s="320" t="e">
        <f>'Támogatás szorzat tényezői'!$C$2*'Támogatás szorzat tényezői'!$C$5*J383*(H383/1000)</f>
        <v>#VALUE!</v>
      </c>
      <c r="L383" s="300"/>
      <c r="M383" s="319">
        <f t="shared" si="5"/>
        <v>8</v>
      </c>
    </row>
    <row r="384" spans="1:13" ht="15.75" hidden="1" customHeight="1" x14ac:dyDescent="0.25">
      <c r="A384" s="319">
        <v>371</v>
      </c>
      <c r="B384" s="298" t="s">
        <v>3736</v>
      </c>
      <c r="C384" s="313" t="s">
        <v>1632</v>
      </c>
      <c r="D384" s="317" t="s">
        <v>1374</v>
      </c>
      <c r="E384" s="317" t="s">
        <v>3459</v>
      </c>
      <c r="F384" s="317" t="s">
        <v>3464</v>
      </c>
      <c r="G384" s="299" t="s">
        <v>1389</v>
      </c>
      <c r="H384" s="299">
        <v>240</v>
      </c>
      <c r="I384" s="299">
        <v>360</v>
      </c>
      <c r="J384" s="298">
        <f>IF(OR(G384="ágazaton kívüli",G384="n.a."),2.2,IF(OR(E384=2,E384=3,E384=4),VLOOKUP(G384,Szakmaszorzók!$B$2:$D$25,2,0),VLOOKUP(G384,Szakmaszorzók!$B$2:$D$25,3,0)))</f>
        <v>2.2000000000000002</v>
      </c>
      <c r="K384" s="320">
        <f>'Támogatás szorzat tényezői'!$C$2*'Támogatás szorzat tényezői'!$C$5*J384*(H384/1000)</f>
        <v>190080.00000000003</v>
      </c>
      <c r="L384" s="300"/>
      <c r="M384" s="319">
        <f t="shared" si="5"/>
        <v>8</v>
      </c>
    </row>
    <row r="385" spans="1:13" ht="15.75" hidden="1" customHeight="1" x14ac:dyDescent="0.25">
      <c r="A385" s="319">
        <v>146</v>
      </c>
      <c r="B385" s="298" t="s">
        <v>2946</v>
      </c>
      <c r="C385" s="313" t="s">
        <v>1699</v>
      </c>
      <c r="D385" s="317" t="s">
        <v>3554</v>
      </c>
      <c r="E385" s="317" t="s">
        <v>3455</v>
      </c>
      <c r="F385" s="317" t="s">
        <v>3464</v>
      </c>
      <c r="G385" s="299" t="s">
        <v>1316</v>
      </c>
      <c r="H385" s="299">
        <v>480</v>
      </c>
      <c r="I385" s="299">
        <v>600</v>
      </c>
      <c r="J385" s="298">
        <f>IF(OR(G385="ágazaton kívüli",G385="n.a."),2.2,IF(OR(E385=2,E385=3,E385=4),VLOOKUP(G385,Szakmaszorzók!$B$2:$D$25,2,0),VLOOKUP(G385,Szakmaszorzók!$B$2:$D$25,3,0)))</f>
        <v>2.85</v>
      </c>
      <c r="K385" s="320">
        <f>'Támogatás szorzat tényezői'!$C$2*'Támogatás szorzat tényezői'!$C$5*J385*(H385/1000)</f>
        <v>492480</v>
      </c>
      <c r="L385" s="300"/>
      <c r="M385" s="319">
        <f t="shared" si="5"/>
        <v>8</v>
      </c>
    </row>
    <row r="386" spans="1:13" ht="15.75" hidden="1" customHeight="1" x14ac:dyDescent="0.25">
      <c r="A386" s="319">
        <v>134</v>
      </c>
      <c r="B386" s="298" t="s">
        <v>2927</v>
      </c>
      <c r="C386" s="313" t="s">
        <v>1651</v>
      </c>
      <c r="D386" s="317" t="s">
        <v>3546</v>
      </c>
      <c r="E386" s="317" t="s">
        <v>3459</v>
      </c>
      <c r="F386" s="317" t="s">
        <v>3502</v>
      </c>
      <c r="G386" s="299" t="s">
        <v>1353</v>
      </c>
      <c r="H386" s="299">
        <v>600</v>
      </c>
      <c r="I386" s="299">
        <v>800</v>
      </c>
      <c r="J386" s="298">
        <f>IF(OR(G386="ágazaton kívüli",G386="n.a."),2.2,IF(OR(E386=2,E386=3,E386=4),VLOOKUP(G386,Szakmaszorzók!$B$2:$D$25,2,0),VLOOKUP(G386,Szakmaszorzók!$B$2:$D$25,3,0)))</f>
        <v>2.2000000000000002</v>
      </c>
      <c r="K386" s="320">
        <f>'Támogatás szorzat tényezői'!$C$2*'Támogatás szorzat tényezői'!$C$5*J386*(H386/1000)</f>
        <v>475200.00000000006</v>
      </c>
      <c r="L386" s="300"/>
      <c r="M386" s="319">
        <f t="shared" ref="M386:M429" si="6">LEN(C386)</f>
        <v>8</v>
      </c>
    </row>
    <row r="387" spans="1:13" ht="15.75" hidden="1" customHeight="1" x14ac:dyDescent="0.25">
      <c r="A387" s="319">
        <v>420</v>
      </c>
      <c r="B387" s="298" t="s">
        <v>3758</v>
      </c>
      <c r="C387" s="313" t="s">
        <v>3190</v>
      </c>
      <c r="D387" s="317" t="s">
        <v>3739</v>
      </c>
      <c r="E387" s="317" t="s">
        <v>3459</v>
      </c>
      <c r="F387" s="317" t="s">
        <v>3498</v>
      </c>
      <c r="G387" s="7" t="s">
        <v>1373</v>
      </c>
      <c r="H387" s="296">
        <v>200</v>
      </c>
      <c r="I387" s="296">
        <v>250</v>
      </c>
      <c r="J387" s="298">
        <f>IF(OR(G387="ágazaton kívüli",G387="n.a."),2.2,IF(OR(E387=2,E387=3,E387=4),VLOOKUP(G387,Szakmaszorzók!$B$2:$D$25,2,0),VLOOKUP(G387,Szakmaszorzók!$B$2:$D$25,3,0)))</f>
        <v>2.2000000000000002</v>
      </c>
      <c r="K387" s="320">
        <f>'Támogatás szorzat tényezői'!$C$2*'Támogatás szorzat tényezői'!$C$5*J387*(H387/1000)</f>
        <v>158400.00000000003</v>
      </c>
      <c r="L387" s="300"/>
      <c r="M387" s="319">
        <f t="shared" si="6"/>
        <v>8</v>
      </c>
    </row>
    <row r="388" spans="1:13" ht="15.75" hidden="1" customHeight="1" x14ac:dyDescent="0.25">
      <c r="A388" s="319">
        <v>83</v>
      </c>
      <c r="B388" s="298" t="s">
        <v>3523</v>
      </c>
      <c r="C388" s="313" t="s">
        <v>1683</v>
      </c>
      <c r="D388" s="317" t="s">
        <v>3524</v>
      </c>
      <c r="E388" s="317" t="s">
        <v>3455</v>
      </c>
      <c r="F388" s="317" t="s">
        <v>3456</v>
      </c>
      <c r="G388" s="299" t="s">
        <v>1316</v>
      </c>
      <c r="H388" s="299">
        <v>960</v>
      </c>
      <c r="I388" s="299">
        <v>1200</v>
      </c>
      <c r="J388" s="298">
        <f>IF(OR(G388="ágazaton kívüli",G388="n.a."),2.2,IF(OR(E388=2,E388=3,E388=4),VLOOKUP(G388,Szakmaszorzók!$B$2:$D$25,2,0),VLOOKUP(G388,Szakmaszorzók!$B$2:$D$25,3,0)))</f>
        <v>2.85</v>
      </c>
      <c r="K388" s="320">
        <f>'Támogatás szorzat tényezői'!$C$2*'Támogatás szorzat tényezői'!$C$5*J388*(H388/1000)</f>
        <v>984960</v>
      </c>
      <c r="L388" s="300"/>
      <c r="M388" s="319">
        <f t="shared" si="6"/>
        <v>8</v>
      </c>
    </row>
    <row r="389" spans="1:13" ht="15.75" hidden="1" customHeight="1" x14ac:dyDescent="0.25">
      <c r="A389" s="319">
        <v>372</v>
      </c>
      <c r="B389" s="298" t="s">
        <v>3106</v>
      </c>
      <c r="C389" s="314" t="s">
        <v>3107</v>
      </c>
      <c r="D389" s="317" t="s">
        <v>1630</v>
      </c>
      <c r="E389" s="317" t="s">
        <v>3455</v>
      </c>
      <c r="F389" s="317" t="s">
        <v>3480</v>
      </c>
      <c r="G389" s="7" t="s">
        <v>1389</v>
      </c>
      <c r="H389" s="7">
        <v>340</v>
      </c>
      <c r="I389" s="7">
        <v>440</v>
      </c>
      <c r="J389" s="298">
        <f>IF(OR(G389="ágazaton kívüli",G389="n.a."),2.2,IF(OR(E389=2,E389=3,E389=4),VLOOKUP(G389,Szakmaszorzók!$B$2:$D$25,2,0),VLOOKUP(G389,Szakmaszorzók!$B$2:$D$25,3,0)))</f>
        <v>2.2000000000000002</v>
      </c>
      <c r="K389" s="320">
        <f>'Támogatás szorzat tényezői'!$C$2*'Támogatás szorzat tényezői'!$C$5*J389*(H389/1000)</f>
        <v>269280.00000000006</v>
      </c>
      <c r="L389" s="301"/>
      <c r="M389" s="319">
        <f t="shared" si="6"/>
        <v>8</v>
      </c>
    </row>
    <row r="390" spans="1:13" ht="15.75" hidden="1" customHeight="1" x14ac:dyDescent="0.25">
      <c r="A390" s="319">
        <v>330</v>
      </c>
      <c r="B390" s="298" t="s">
        <v>3038</v>
      </c>
      <c r="C390" s="313" t="s">
        <v>3039</v>
      </c>
      <c r="D390" s="317" t="s">
        <v>3702</v>
      </c>
      <c r="E390" s="317" t="s">
        <v>3455</v>
      </c>
      <c r="F390" s="317" t="s">
        <v>3464</v>
      </c>
      <c r="G390" s="299" t="s">
        <v>1327</v>
      </c>
      <c r="H390" s="299">
        <v>450</v>
      </c>
      <c r="I390" s="299">
        <v>540</v>
      </c>
      <c r="J390" s="298">
        <f>IF(OR(G390="ágazaton kívüli",G390="n.a."),2.2,IF(OR(E390=2,E390=3,E390=4),VLOOKUP(G390,Szakmaszorzók!$B$2:$D$25,2,0),VLOOKUP(G390,Szakmaszorzók!$B$2:$D$25,3,0)))</f>
        <v>2.42</v>
      </c>
      <c r="K390" s="320">
        <f>'Támogatás szorzat tényezői'!$C$2*'Támogatás szorzat tényezői'!$C$5*J390*(H390/1000)</f>
        <v>392040</v>
      </c>
      <c r="L390" s="300"/>
      <c r="M390" s="319">
        <f t="shared" si="6"/>
        <v>8</v>
      </c>
    </row>
    <row r="391" spans="1:13" ht="15.75" hidden="1" customHeight="1" x14ac:dyDescent="0.25">
      <c r="A391" s="319">
        <v>111</v>
      </c>
      <c r="B391" s="298" t="s">
        <v>3539</v>
      </c>
      <c r="C391" s="313" t="s">
        <v>1593</v>
      </c>
      <c r="D391" s="317" t="s">
        <v>1299</v>
      </c>
      <c r="E391" s="317" t="s">
        <v>3458</v>
      </c>
      <c r="F391" s="317" t="s">
        <v>3462</v>
      </c>
      <c r="G391" s="299" t="s">
        <v>1298</v>
      </c>
      <c r="H391" s="299">
        <v>250</v>
      </c>
      <c r="I391" s="299">
        <v>320</v>
      </c>
      <c r="J391" s="298">
        <f>IF(OR(G391="ágazaton kívüli",G391="n.a."),2.2,IF(OR(E391=2,E391=3,E391=4),VLOOKUP(G391,Szakmaszorzók!$B$2:$D$25,2,0),VLOOKUP(G391,Szakmaszorzók!$B$2:$D$25,3,0)))</f>
        <v>2.42</v>
      </c>
      <c r="K391" s="320">
        <f>'Támogatás szorzat tényezői'!$C$2*'Támogatás szorzat tényezői'!$C$5*J391*(H391/1000)</f>
        <v>217800</v>
      </c>
      <c r="L391" s="300"/>
      <c r="M391" s="319">
        <f t="shared" si="6"/>
        <v>8</v>
      </c>
    </row>
    <row r="392" spans="1:13" ht="15.75" hidden="1" customHeight="1" x14ac:dyDescent="0.25">
      <c r="A392" s="319">
        <v>331</v>
      </c>
      <c r="B392" s="298" t="s">
        <v>3710</v>
      </c>
      <c r="C392" s="313" t="s">
        <v>3040</v>
      </c>
      <c r="D392" s="317" t="s">
        <v>3711</v>
      </c>
      <c r="E392" s="317" t="s">
        <v>3458</v>
      </c>
      <c r="F392" s="317" t="s">
        <v>3481</v>
      </c>
      <c r="G392" s="299" t="s">
        <v>1303</v>
      </c>
      <c r="H392" s="299">
        <v>800</v>
      </c>
      <c r="I392" s="299">
        <v>1000</v>
      </c>
      <c r="J392" s="298">
        <f>IF(OR(G392="ágazaton kívüli",G392="n.a."),2.2,IF(OR(E392=2,E392=3,E392=4),VLOOKUP(G392,Szakmaszorzók!$B$2:$D$25,2,0),VLOOKUP(G392,Szakmaszorzók!$B$2:$D$25,3,0)))</f>
        <v>2.2000000000000002</v>
      </c>
      <c r="K392" s="320">
        <f>'Támogatás szorzat tényezői'!$C$2*'Támogatás szorzat tényezői'!$C$5*J392*(H392/1000)</f>
        <v>633600.00000000012</v>
      </c>
      <c r="L392" s="300"/>
      <c r="M392" s="319">
        <f t="shared" si="6"/>
        <v>8</v>
      </c>
    </row>
    <row r="393" spans="1:13" ht="15.75" hidden="1" customHeight="1" x14ac:dyDescent="0.25">
      <c r="A393" s="319">
        <v>332</v>
      </c>
      <c r="B393" s="298" t="s">
        <v>3084</v>
      </c>
      <c r="C393" s="313" t="s">
        <v>3085</v>
      </c>
      <c r="D393" s="317" t="s">
        <v>3700</v>
      </c>
      <c r="E393" s="317" t="s">
        <v>3459</v>
      </c>
      <c r="F393" s="317" t="s">
        <v>3462</v>
      </c>
      <c r="G393" s="299" t="s">
        <v>1303</v>
      </c>
      <c r="H393" s="299">
        <v>200</v>
      </c>
      <c r="I393" s="299">
        <v>260</v>
      </c>
      <c r="J393" s="298">
        <f>IF(OR(G393="ágazaton kívüli",G393="n.a."),2.2,IF(OR(E393=2,E393=3,E393=4),VLOOKUP(G393,Szakmaszorzók!$B$2:$D$25,2,0),VLOOKUP(G393,Szakmaszorzók!$B$2:$D$25,3,0)))</f>
        <v>2.2000000000000002</v>
      </c>
      <c r="K393" s="320">
        <f>'Támogatás szorzat tényezői'!$C$2*'Támogatás szorzat tényezői'!$C$5*J393*(H393/1000)</f>
        <v>158400.00000000003</v>
      </c>
      <c r="L393" s="300"/>
      <c r="M393" s="319">
        <f t="shared" si="6"/>
        <v>8</v>
      </c>
    </row>
    <row r="394" spans="1:13" ht="15.75" hidden="1" customHeight="1" x14ac:dyDescent="0.25">
      <c r="A394" s="319">
        <v>373</v>
      </c>
      <c r="B394" s="298" t="s">
        <v>3737</v>
      </c>
      <c r="C394" s="313" t="s">
        <v>1594</v>
      </c>
      <c r="D394" s="317" t="s">
        <v>1362</v>
      </c>
      <c r="E394" s="317" t="s">
        <v>3458</v>
      </c>
      <c r="F394" s="317" t="s">
        <v>3469</v>
      </c>
      <c r="G394" s="299" t="s">
        <v>1293</v>
      </c>
      <c r="H394" s="299">
        <v>240</v>
      </c>
      <c r="I394" s="299">
        <v>300</v>
      </c>
      <c r="J394" s="298">
        <f>IF(OR(G394="ágazaton kívüli",G394="n.a."),2.2,IF(OR(E394=2,E394=3,E394=4),VLOOKUP(G394,Szakmaszorzók!$B$2:$D$25,2,0),VLOOKUP(G394,Szakmaszorzók!$B$2:$D$25,3,0)))</f>
        <v>2.42</v>
      </c>
      <c r="K394" s="320">
        <f>'Támogatás szorzat tényezői'!$C$2*'Támogatás szorzat tényezői'!$C$5*J394*(H394/1000)</f>
        <v>209088</v>
      </c>
      <c r="L394" s="300"/>
      <c r="M394" s="319">
        <f t="shared" si="6"/>
        <v>8</v>
      </c>
    </row>
    <row r="395" spans="1:13" ht="15.75" hidden="1" customHeight="1" x14ac:dyDescent="0.25">
      <c r="A395" s="319">
        <v>421</v>
      </c>
      <c r="B395" s="298" t="s">
        <v>3759</v>
      </c>
      <c r="C395" s="313" t="s">
        <v>3157</v>
      </c>
      <c r="D395" s="317" t="s">
        <v>3739</v>
      </c>
      <c r="E395" s="317" t="s">
        <v>3458</v>
      </c>
      <c r="F395" s="317" t="s">
        <v>3490</v>
      </c>
      <c r="G395" s="7" t="s">
        <v>1373</v>
      </c>
      <c r="H395" s="296">
        <v>500</v>
      </c>
      <c r="I395" s="296">
        <v>700</v>
      </c>
      <c r="J395" s="298">
        <f>IF(OR(G395="ágazaton kívüli",G395="n.a."),2.2,IF(OR(E395=2,E395=3,E395=4),VLOOKUP(G395,Szakmaszorzók!$B$2:$D$25,2,0),VLOOKUP(G395,Szakmaszorzók!$B$2:$D$25,3,0)))</f>
        <v>2.2000000000000002</v>
      </c>
      <c r="K395" s="320">
        <f>'Támogatás szorzat tényezői'!$C$2*'Támogatás szorzat tényezői'!$C$5*J395*(H395/1000)</f>
        <v>396000.00000000006</v>
      </c>
      <c r="L395" s="300"/>
      <c r="M395" s="319">
        <f t="shared" si="6"/>
        <v>8</v>
      </c>
    </row>
    <row r="396" spans="1:13" ht="15.75" hidden="1" customHeight="1" x14ac:dyDescent="0.25">
      <c r="A396" s="319">
        <v>422</v>
      </c>
      <c r="B396" s="298" t="s">
        <v>3192</v>
      </c>
      <c r="C396" s="313" t="s">
        <v>3193</v>
      </c>
      <c r="D396" s="317" t="s">
        <v>3739</v>
      </c>
      <c r="E396" s="317" t="s">
        <v>3455</v>
      </c>
      <c r="F396" s="317" t="s">
        <v>3483</v>
      </c>
      <c r="G396" s="299" t="s">
        <v>1373</v>
      </c>
      <c r="H396" s="299">
        <v>700</v>
      </c>
      <c r="I396" s="299">
        <v>900</v>
      </c>
      <c r="J396" s="298">
        <f>IF(OR(G396="ágazaton kívüli",G396="n.a."),2.2,IF(OR(E396=2,E396=3,E396=4),VLOOKUP(G396,Szakmaszorzók!$B$2:$D$25,2,0),VLOOKUP(G396,Szakmaszorzók!$B$2:$D$25,3,0)))</f>
        <v>2.2000000000000002</v>
      </c>
      <c r="K396" s="320">
        <f>'Támogatás szorzat tényezői'!$C$2*'Támogatás szorzat tényezői'!$C$5*J396*(H396/1000)</f>
        <v>554400</v>
      </c>
      <c r="L396" s="300"/>
      <c r="M396" s="319">
        <f t="shared" si="6"/>
        <v>8</v>
      </c>
    </row>
    <row r="397" spans="1:13" ht="15.75" hidden="1" customHeight="1" x14ac:dyDescent="0.25">
      <c r="A397" s="319">
        <v>423</v>
      </c>
      <c r="B397" s="298" t="s">
        <v>3179</v>
      </c>
      <c r="C397" s="313" t="s">
        <v>3180</v>
      </c>
      <c r="D397" s="317" t="s">
        <v>3739</v>
      </c>
      <c r="E397" s="317" t="s">
        <v>3459</v>
      </c>
      <c r="F397" s="317" t="s">
        <v>3469</v>
      </c>
      <c r="G397" s="7" t="s">
        <v>1373</v>
      </c>
      <c r="H397" s="296">
        <v>250</v>
      </c>
      <c r="I397" s="296">
        <v>320</v>
      </c>
      <c r="J397" s="298">
        <f>IF(OR(G397="ágazaton kívüli",G397="n.a."),2.2,IF(OR(E397=2,E397=3,E397=4),VLOOKUP(G397,Szakmaszorzók!$B$2:$D$25,2,0),VLOOKUP(G397,Szakmaszorzók!$B$2:$D$25,3,0)))</f>
        <v>2.2000000000000002</v>
      </c>
      <c r="K397" s="320">
        <f>'Támogatás szorzat tényezői'!$C$2*'Támogatás szorzat tényezői'!$C$5*J397*(H397/1000)</f>
        <v>198000.00000000003</v>
      </c>
      <c r="L397" s="300"/>
      <c r="M397" s="319">
        <f t="shared" si="6"/>
        <v>8</v>
      </c>
    </row>
    <row r="398" spans="1:13" ht="15.75" hidden="1" customHeight="1" x14ac:dyDescent="0.25">
      <c r="A398" s="319">
        <v>424</v>
      </c>
      <c r="B398" s="298" t="s">
        <v>3181</v>
      </c>
      <c r="C398" s="313" t="s">
        <v>3182</v>
      </c>
      <c r="D398" s="317" t="s">
        <v>3739</v>
      </c>
      <c r="E398" s="317" t="s">
        <v>3459</v>
      </c>
      <c r="F398" s="317" t="s">
        <v>3467</v>
      </c>
      <c r="G398" s="7" t="s">
        <v>1373</v>
      </c>
      <c r="H398" s="296">
        <v>180</v>
      </c>
      <c r="I398" s="296">
        <v>250</v>
      </c>
      <c r="J398" s="298">
        <f>IF(OR(G398="ágazaton kívüli",G398="n.a."),2.2,IF(OR(E398=2,E398=3,E398=4),VLOOKUP(G398,Szakmaszorzók!$B$2:$D$25,2,0),VLOOKUP(G398,Szakmaszorzók!$B$2:$D$25,3,0)))</f>
        <v>2.2000000000000002</v>
      </c>
      <c r="K398" s="320">
        <f>'Támogatás szorzat tényezői'!$C$2*'Támogatás szorzat tényezői'!$C$5*J398*(H398/1000)</f>
        <v>142560.00000000003</v>
      </c>
      <c r="L398" s="300"/>
      <c r="M398" s="319">
        <f t="shared" si="6"/>
        <v>8</v>
      </c>
    </row>
    <row r="399" spans="1:13" ht="15.75" hidden="1" customHeight="1" x14ac:dyDescent="0.25">
      <c r="A399" s="319">
        <v>293</v>
      </c>
      <c r="B399" s="298" t="s">
        <v>3696</v>
      </c>
      <c r="C399" s="313" t="s">
        <v>2969</v>
      </c>
      <c r="D399" s="317" t="s">
        <v>1360</v>
      </c>
      <c r="E399" s="317" t="s">
        <v>3459</v>
      </c>
      <c r="F399" s="317" t="s">
        <v>3469</v>
      </c>
      <c r="G399" s="299" t="s">
        <v>1298</v>
      </c>
      <c r="H399" s="299">
        <v>500</v>
      </c>
      <c r="I399" s="299">
        <v>700</v>
      </c>
      <c r="J399" s="298">
        <f>IF(OR(G399="ágazaton kívüli",G399="n.a."),2.2,IF(OR(E399=2,E399=3,E399=4),VLOOKUP(G399,Szakmaszorzók!$B$2:$D$25,2,0),VLOOKUP(G399,Szakmaszorzók!$B$2:$D$25,3,0)))</f>
        <v>2.42</v>
      </c>
      <c r="K399" s="320">
        <f>'Támogatás szorzat tényezői'!$C$2*'Támogatás szorzat tényezői'!$C$5*J399*(H399/1000)</f>
        <v>435600</v>
      </c>
      <c r="L399" s="300"/>
      <c r="M399" s="319">
        <f t="shared" si="6"/>
        <v>8</v>
      </c>
    </row>
    <row r="400" spans="1:13" ht="15.75" hidden="1" customHeight="1" x14ac:dyDescent="0.25">
      <c r="A400" s="319">
        <v>84</v>
      </c>
      <c r="B400" s="298" t="s">
        <v>2909</v>
      </c>
      <c r="C400" s="313" t="s">
        <v>1595</v>
      </c>
      <c r="D400" s="317" t="s">
        <v>1283</v>
      </c>
      <c r="E400" s="317" t="s">
        <v>3458</v>
      </c>
      <c r="F400" s="317" t="s">
        <v>3502</v>
      </c>
      <c r="G400" s="299" t="s">
        <v>1282</v>
      </c>
      <c r="H400" s="299">
        <v>140</v>
      </c>
      <c r="I400" s="299">
        <v>200</v>
      </c>
      <c r="J400" s="298">
        <f>IF(OR(G400="ágazaton kívüli",G400="n.a."),2.2,IF(OR(E400=2,E400=3,E400=4),VLOOKUP(G400,Szakmaszorzók!$B$2:$D$25,2,0),VLOOKUP(G400,Szakmaszorzók!$B$2:$D$25,3,0)))</f>
        <v>2.42</v>
      </c>
      <c r="K400" s="320">
        <f>'Támogatás szorzat tényezői'!$C$2*'Támogatás szorzat tényezői'!$C$5*J400*(H400/1000)</f>
        <v>121968.00000000001</v>
      </c>
      <c r="L400" s="300"/>
      <c r="M400" s="319">
        <f t="shared" si="6"/>
        <v>8</v>
      </c>
    </row>
    <row r="401" spans="1:13" ht="15.75" hidden="1" customHeight="1" x14ac:dyDescent="0.25">
      <c r="A401" s="319">
        <v>117</v>
      </c>
      <c r="B401" s="298" t="s">
        <v>3543</v>
      </c>
      <c r="C401" s="313" t="s">
        <v>1636</v>
      </c>
      <c r="D401" s="317" t="s">
        <v>3541</v>
      </c>
      <c r="E401" s="317" t="s">
        <v>3458</v>
      </c>
      <c r="F401" s="317" t="s">
        <v>3481</v>
      </c>
      <c r="G401" s="299" t="s">
        <v>1280</v>
      </c>
      <c r="H401" s="299">
        <v>480</v>
      </c>
      <c r="I401" s="299">
        <v>720</v>
      </c>
      <c r="J401" s="298">
        <f>IF(OR(G401="ágazaton kívüli",G401="n.a."),2.2,IF(OR(E401=2,E401=3,E401=4),VLOOKUP(G401,Szakmaszorzók!$B$2:$D$25,2,0),VLOOKUP(G401,Szakmaszorzók!$B$2:$D$25,3,0)))</f>
        <v>2.85</v>
      </c>
      <c r="K401" s="320">
        <f>'Támogatás szorzat tényezői'!$C$2*'Támogatás szorzat tényezői'!$C$5*J401*(H401/1000)</f>
        <v>492480</v>
      </c>
      <c r="L401" s="300"/>
      <c r="M401" s="319">
        <f t="shared" si="6"/>
        <v>8</v>
      </c>
    </row>
    <row r="402" spans="1:13" ht="15.75" hidden="1" customHeight="1" x14ac:dyDescent="0.25">
      <c r="A402" s="319">
        <v>374</v>
      </c>
      <c r="B402" s="298" t="s">
        <v>3117</v>
      </c>
      <c r="C402" s="313" t="s">
        <v>1596</v>
      </c>
      <c r="D402" s="317" t="s">
        <v>1362</v>
      </c>
      <c r="E402" s="317" t="s">
        <v>3455</v>
      </c>
      <c r="F402" s="317" t="s">
        <v>3502</v>
      </c>
      <c r="G402" s="299" t="s">
        <v>1351</v>
      </c>
      <c r="H402" s="299">
        <v>140</v>
      </c>
      <c r="I402" s="299">
        <v>200</v>
      </c>
      <c r="J402" s="298">
        <f>IF(OR(G402="ágazaton kívüli",G402="n.a."),2.2,IF(OR(E402=2,E402=3,E402=4),VLOOKUP(G402,Szakmaszorzók!$B$2:$D$25,2,0),VLOOKUP(G402,Szakmaszorzók!$B$2:$D$25,3,0)))</f>
        <v>2.2000000000000002</v>
      </c>
      <c r="K402" s="320">
        <f>'Támogatás szorzat tényezői'!$C$2*'Támogatás szorzat tényezői'!$C$5*J402*(H402/1000)</f>
        <v>110880.00000000003</v>
      </c>
      <c r="L402" s="300"/>
      <c r="M402" s="319">
        <f t="shared" si="6"/>
        <v>8</v>
      </c>
    </row>
    <row r="403" spans="1:13" ht="15.75" hidden="1" customHeight="1" x14ac:dyDescent="0.25">
      <c r="A403" s="319">
        <v>112</v>
      </c>
      <c r="B403" s="298" t="s">
        <v>2917</v>
      </c>
      <c r="C403" s="313" t="s">
        <v>1597</v>
      </c>
      <c r="D403" s="317" t="s">
        <v>1281</v>
      </c>
      <c r="E403" s="317" t="s">
        <v>3458</v>
      </c>
      <c r="F403" s="317" t="s">
        <v>3490</v>
      </c>
      <c r="G403" s="299" t="s">
        <v>1280</v>
      </c>
      <c r="H403" s="299">
        <v>130</v>
      </c>
      <c r="I403" s="299">
        <v>250</v>
      </c>
      <c r="J403" s="298">
        <f>IF(OR(G403="ágazaton kívüli",G403="n.a."),2.2,IF(OR(E403=2,E403=3,E403=4),VLOOKUP(G403,Szakmaszorzók!$B$2:$D$25,2,0),VLOOKUP(G403,Szakmaszorzók!$B$2:$D$25,3,0)))</f>
        <v>2.85</v>
      </c>
      <c r="K403" s="320">
        <f>'Támogatás szorzat tényezői'!$C$2*'Támogatás szorzat tényezői'!$C$5*J403*(H403/1000)</f>
        <v>133380</v>
      </c>
      <c r="L403" s="300"/>
      <c r="M403" s="319">
        <f t="shared" si="6"/>
        <v>8</v>
      </c>
    </row>
    <row r="404" spans="1:13" ht="15.75" hidden="1" customHeight="1" x14ac:dyDescent="0.25">
      <c r="A404" s="319">
        <v>425</v>
      </c>
      <c r="B404" s="298" t="s">
        <v>3183</v>
      </c>
      <c r="C404" s="313" t="s">
        <v>3184</v>
      </c>
      <c r="D404" s="317" t="s">
        <v>3739</v>
      </c>
      <c r="E404" s="317" t="s">
        <v>3459</v>
      </c>
      <c r="F404" s="317" t="s">
        <v>3487</v>
      </c>
      <c r="G404" s="7" t="s">
        <v>1373</v>
      </c>
      <c r="H404" s="296">
        <v>200</v>
      </c>
      <c r="I404" s="296">
        <v>250</v>
      </c>
      <c r="J404" s="298">
        <f>IF(OR(G404="ágazaton kívüli",G404="n.a."),2.2,IF(OR(E404=2,E404=3,E404=4),VLOOKUP(G404,Szakmaszorzók!$B$2:$D$25,2,0),VLOOKUP(G404,Szakmaszorzók!$B$2:$D$25,3,0)))</f>
        <v>2.2000000000000002</v>
      </c>
      <c r="K404" s="320">
        <f>'Támogatás szorzat tényezői'!$C$2*'Támogatás szorzat tényezői'!$C$5*J404*(H404/1000)</f>
        <v>158400.00000000003</v>
      </c>
      <c r="L404" s="300"/>
      <c r="M404" s="319">
        <f t="shared" si="6"/>
        <v>8</v>
      </c>
    </row>
    <row r="405" spans="1:13" ht="15.75" hidden="1" customHeight="1" x14ac:dyDescent="0.25">
      <c r="A405" s="319">
        <v>375</v>
      </c>
      <c r="B405" s="298" t="s">
        <v>349</v>
      </c>
      <c r="C405" s="313" t="s">
        <v>2799</v>
      </c>
      <c r="D405" s="317" t="s">
        <v>1630</v>
      </c>
      <c r="E405" s="317" t="s">
        <v>3455</v>
      </c>
      <c r="F405" s="317" t="s">
        <v>3464</v>
      </c>
      <c r="G405" s="299" t="s">
        <v>1389</v>
      </c>
      <c r="H405" s="299">
        <v>510</v>
      </c>
      <c r="I405" s="299">
        <v>1020</v>
      </c>
      <c r="J405" s="298">
        <f>IF(OR(G405="ágazaton kívüli",G405="n.a."),2.2,IF(OR(E405=2,E405=3,E405=4),VLOOKUP(G405,Szakmaszorzók!$B$2:$D$25,2,0),VLOOKUP(G405,Szakmaszorzók!$B$2:$D$25,3,0)))</f>
        <v>2.2000000000000002</v>
      </c>
      <c r="K405" s="320">
        <f>'Támogatás szorzat tényezői'!$C$2*'Támogatás szorzat tényezői'!$C$5*J405*(H405/1000)</f>
        <v>403920.00000000006</v>
      </c>
      <c r="L405" s="300"/>
      <c r="M405" s="319">
        <f t="shared" si="6"/>
        <v>8</v>
      </c>
    </row>
    <row r="406" spans="1:13" ht="15.75" hidden="1" customHeight="1" x14ac:dyDescent="0.25">
      <c r="A406" s="319">
        <v>376</v>
      </c>
      <c r="B406" s="298" t="s">
        <v>3738</v>
      </c>
      <c r="C406" s="313" t="s">
        <v>1631</v>
      </c>
      <c r="D406" s="317" t="s">
        <v>1630</v>
      </c>
      <c r="E406" s="317" t="s">
        <v>3455</v>
      </c>
      <c r="F406" s="317" t="s">
        <v>3456</v>
      </c>
      <c r="G406" s="299" t="s">
        <v>1389</v>
      </c>
      <c r="H406" s="299">
        <v>420</v>
      </c>
      <c r="I406" s="299">
        <v>600</v>
      </c>
      <c r="J406" s="298">
        <f>IF(OR(G406="ágazaton kívüli",G406="n.a."),2.2,IF(OR(E406=2,E406=3,E406=4),VLOOKUP(G406,Szakmaszorzók!$B$2:$D$25,2,0),VLOOKUP(G406,Szakmaszorzók!$B$2:$D$25,3,0)))</f>
        <v>2.2000000000000002</v>
      </c>
      <c r="K406" s="320">
        <f>'Támogatás szorzat tényezői'!$C$2*'Támogatás szorzat tényezői'!$C$5*J406*(H406/1000)</f>
        <v>332640.00000000006</v>
      </c>
      <c r="L406" s="300"/>
      <c r="M406" s="319">
        <f t="shared" si="6"/>
        <v>8</v>
      </c>
    </row>
    <row r="407" spans="1:13" ht="15.75" hidden="1" customHeight="1" x14ac:dyDescent="0.25">
      <c r="A407" s="319">
        <v>47</v>
      </c>
      <c r="B407" s="298" t="s">
        <v>2876</v>
      </c>
      <c r="C407" s="313" t="s">
        <v>1671</v>
      </c>
      <c r="D407" s="317" t="s">
        <v>1302</v>
      </c>
      <c r="E407" s="317" t="s">
        <v>3458</v>
      </c>
      <c r="F407" s="317" t="s">
        <v>3502</v>
      </c>
      <c r="G407" s="299" t="s">
        <v>1293</v>
      </c>
      <c r="H407" s="299">
        <v>300</v>
      </c>
      <c r="I407" s="299">
        <v>500</v>
      </c>
      <c r="J407" s="298">
        <f>IF(OR(G407="ágazaton kívüli",G407="n.a."),2.2,IF(OR(E407=2,E407=3,E407=4),VLOOKUP(G407,Szakmaszorzók!$B$2:$D$25,2,0),VLOOKUP(G407,Szakmaszorzók!$B$2:$D$25,3,0)))</f>
        <v>2.42</v>
      </c>
      <c r="K407" s="320">
        <f>'Támogatás szorzat tényezői'!$C$2*'Támogatás szorzat tényezői'!$C$5*J407*(H407/1000)</f>
        <v>261360</v>
      </c>
      <c r="L407" s="300"/>
      <c r="M407" s="319">
        <f t="shared" si="6"/>
        <v>8</v>
      </c>
    </row>
    <row r="408" spans="1:13" ht="15.75" hidden="1" customHeight="1" x14ac:dyDescent="0.25">
      <c r="A408" s="319">
        <v>48</v>
      </c>
      <c r="B408" s="298" t="s">
        <v>2892</v>
      </c>
      <c r="C408" s="313" t="s">
        <v>1598</v>
      </c>
      <c r="D408" s="317" t="s">
        <v>1288</v>
      </c>
      <c r="E408" s="317" t="s">
        <v>3455</v>
      </c>
      <c r="F408" s="317" t="s">
        <v>3464</v>
      </c>
      <c r="G408" s="299" t="s">
        <v>1301</v>
      </c>
      <c r="H408" s="299">
        <v>320</v>
      </c>
      <c r="I408" s="299">
        <v>480</v>
      </c>
      <c r="J408" s="298">
        <f>IF(OR(G408="ágazaton kívüli",G408="n.a."),2.2,IF(OR(E408=2,E408=3,E408=4),VLOOKUP(G408,Szakmaszorzók!$B$2:$D$25,2,0),VLOOKUP(G408,Szakmaszorzók!$B$2:$D$25,3,0)))</f>
        <v>2.85</v>
      </c>
      <c r="K408" s="320">
        <f>'Támogatás szorzat tényezői'!$C$2*'Támogatás szorzat tényezői'!$C$5*J408*(H408/1000)</f>
        <v>328320</v>
      </c>
      <c r="L408" s="300"/>
      <c r="M408" s="319">
        <f t="shared" si="6"/>
        <v>8</v>
      </c>
    </row>
    <row r="409" spans="1:13" ht="15.75" hidden="1" customHeight="1" x14ac:dyDescent="0.25">
      <c r="A409" s="319">
        <v>49</v>
      </c>
      <c r="B409" s="298" t="s">
        <v>2873</v>
      </c>
      <c r="C409" s="314" t="s">
        <v>2874</v>
      </c>
      <c r="D409" s="317" t="s">
        <v>3457</v>
      </c>
      <c r="E409" s="317" t="s">
        <v>3458</v>
      </c>
      <c r="F409" s="317" t="s">
        <v>3481</v>
      </c>
      <c r="G409" s="7" t="s">
        <v>1301</v>
      </c>
      <c r="H409" s="7">
        <v>100</v>
      </c>
      <c r="I409" s="7">
        <v>120</v>
      </c>
      <c r="J409" s="298">
        <f>IF(OR(G409="ágazaton kívüli",G409="n.a."),2.2,IF(OR(E409=2,E409=3,E409=4),VLOOKUP(G409,Szakmaszorzók!$B$2:$D$25,2,0),VLOOKUP(G409,Szakmaszorzók!$B$2:$D$25,3,0)))</f>
        <v>2.85</v>
      </c>
      <c r="K409" s="320">
        <f>'Támogatás szorzat tényezői'!$C$2*'Támogatás szorzat tényezői'!$C$5*J409*(H409/1000)</f>
        <v>102600</v>
      </c>
      <c r="L409" s="301"/>
      <c r="M409" s="319">
        <f t="shared" si="6"/>
        <v>8</v>
      </c>
    </row>
    <row r="410" spans="1:13" ht="15.75" hidden="1" customHeight="1" x14ac:dyDescent="0.25">
      <c r="A410" s="319">
        <v>377</v>
      </c>
      <c r="B410" s="298" t="s">
        <v>3111</v>
      </c>
      <c r="C410" s="313" t="s">
        <v>1599</v>
      </c>
      <c r="D410" s="317" t="s">
        <v>1362</v>
      </c>
      <c r="E410" s="317" t="s">
        <v>3458</v>
      </c>
      <c r="F410" s="317" t="s">
        <v>3471</v>
      </c>
      <c r="G410" s="299" t="s">
        <v>1351</v>
      </c>
      <c r="H410" s="299">
        <v>80</v>
      </c>
      <c r="I410" s="299">
        <v>120</v>
      </c>
      <c r="J410" s="298">
        <f>IF(OR(G410="ágazaton kívüli",G410="n.a."),2.2,IF(OR(E410=2,E410=3,E410=4),VLOOKUP(G410,Szakmaszorzók!$B$2:$D$25,2,0),VLOOKUP(G410,Szakmaszorzók!$B$2:$D$25,3,0)))</f>
        <v>2.2000000000000002</v>
      </c>
      <c r="K410" s="320">
        <f>'Támogatás szorzat tényezői'!$C$2*'Támogatás szorzat tényezői'!$C$5*J410*(H410/1000)</f>
        <v>63360.000000000007</v>
      </c>
      <c r="L410" s="300"/>
      <c r="M410" s="319">
        <f t="shared" si="6"/>
        <v>8</v>
      </c>
    </row>
    <row r="411" spans="1:13" ht="15.75" hidden="1" customHeight="1" x14ac:dyDescent="0.25">
      <c r="A411" s="319">
        <v>50</v>
      </c>
      <c r="B411" s="298" t="s">
        <v>356</v>
      </c>
      <c r="C411" s="313" t="s">
        <v>1600</v>
      </c>
      <c r="D411" s="317" t="s">
        <v>1339</v>
      </c>
      <c r="E411" s="317" t="s">
        <v>3455</v>
      </c>
      <c r="F411" s="317" t="s">
        <v>3456</v>
      </c>
      <c r="G411" s="299" t="s">
        <v>1280</v>
      </c>
      <c r="H411" s="299">
        <v>480</v>
      </c>
      <c r="I411" s="299">
        <v>720</v>
      </c>
      <c r="J411" s="298">
        <f>IF(OR(G411="ágazaton kívüli",G411="n.a."),2.2,IF(OR(E411=2,E411=3,E411=4),VLOOKUP(G411,Szakmaszorzók!$B$2:$D$25,2,0),VLOOKUP(G411,Szakmaszorzók!$B$2:$D$25,3,0)))</f>
        <v>2.85</v>
      </c>
      <c r="K411" s="320">
        <f>'Támogatás szorzat tényezői'!$C$2*'Támogatás szorzat tényezői'!$C$5*J411*(H411/1000)</f>
        <v>492480</v>
      </c>
      <c r="L411" s="300"/>
      <c r="M411" s="319">
        <f t="shared" si="6"/>
        <v>8</v>
      </c>
    </row>
    <row r="412" spans="1:13" ht="15.75" hidden="1" customHeight="1" x14ac:dyDescent="0.25">
      <c r="A412" s="319">
        <v>294</v>
      </c>
      <c r="B412" s="298" t="s">
        <v>358</v>
      </c>
      <c r="C412" s="313" t="s">
        <v>1622</v>
      </c>
      <c r="D412" s="317" t="s">
        <v>1360</v>
      </c>
      <c r="E412" s="317" t="s">
        <v>3455</v>
      </c>
      <c r="F412" s="317" t="s">
        <v>3487</v>
      </c>
      <c r="G412" s="308" t="s">
        <v>1883</v>
      </c>
      <c r="H412" s="299">
        <v>480</v>
      </c>
      <c r="I412" s="299">
        <v>720</v>
      </c>
      <c r="J412" s="298">
        <f>IF(OR(G412="ágazaton kívüli",G412="n.a."),2.2,IF(OR(E412=2,E412=3,E412=4),VLOOKUP(G412,Szakmaszorzók!$B$2:$D$25,2,0),VLOOKUP(G412,Szakmaszorzók!$B$2:$D$25,3,0)))</f>
        <v>2.2000000000000002</v>
      </c>
      <c r="K412" s="320">
        <f>'Támogatás szorzat tényezői'!$C$2*'Támogatás szorzat tényezői'!$C$5*J412*(H412/1000)</f>
        <v>380160.00000000006</v>
      </c>
      <c r="L412" s="300"/>
      <c r="M412" s="319">
        <f t="shared" si="6"/>
        <v>8</v>
      </c>
    </row>
    <row r="413" spans="1:13" ht="15.75" hidden="1" customHeight="1" x14ac:dyDescent="0.25">
      <c r="A413" s="319">
        <v>51</v>
      </c>
      <c r="B413" s="298" t="s">
        <v>2893</v>
      </c>
      <c r="C413" s="313" t="s">
        <v>2894</v>
      </c>
      <c r="D413" s="317" t="s">
        <v>1339</v>
      </c>
      <c r="E413" s="317" t="s">
        <v>3459</v>
      </c>
      <c r="F413" s="317" t="s">
        <v>3505</v>
      </c>
      <c r="G413" s="299" t="s">
        <v>1280</v>
      </c>
      <c r="H413" s="299">
        <v>320</v>
      </c>
      <c r="I413" s="299">
        <v>480</v>
      </c>
      <c r="J413" s="298">
        <f>IF(OR(G413="ágazaton kívüli",G413="n.a."),2.2,IF(OR(E413=2,E413=3,E413=4),VLOOKUP(G413,Szakmaszorzók!$B$2:$D$25,2,0),VLOOKUP(G413,Szakmaszorzók!$B$2:$D$25,3,0)))</f>
        <v>2.85</v>
      </c>
      <c r="K413" s="320">
        <f>'Támogatás szorzat tényezői'!$C$2*'Támogatás szorzat tényezői'!$C$5*J413*(H413/1000)</f>
        <v>328320</v>
      </c>
      <c r="L413" s="300"/>
      <c r="M413" s="319">
        <f t="shared" si="6"/>
        <v>8</v>
      </c>
    </row>
    <row r="414" spans="1:13" ht="15.75" hidden="1" customHeight="1" x14ac:dyDescent="0.25">
      <c r="A414" s="319">
        <v>52</v>
      </c>
      <c r="B414" s="298" t="s">
        <v>3506</v>
      </c>
      <c r="C414" s="313" t="s">
        <v>1601</v>
      </c>
      <c r="D414" s="317" t="s">
        <v>1311</v>
      </c>
      <c r="E414" s="317" t="s">
        <v>3459</v>
      </c>
      <c r="F414" s="317" t="s">
        <v>3471</v>
      </c>
      <c r="G414" s="299" t="s">
        <v>1290</v>
      </c>
      <c r="H414" s="299">
        <v>200</v>
      </c>
      <c r="I414" s="299">
        <v>300</v>
      </c>
      <c r="J414" s="298">
        <f>IF(OR(G414="ágazaton kívüli",G414="n.a."),2.2,IF(OR(E414=2,E414=3,E414=4),VLOOKUP(G414,Szakmaszorzók!$B$2:$D$25,2,0),VLOOKUP(G414,Szakmaszorzók!$B$2:$D$25,3,0)))</f>
        <v>2.85</v>
      </c>
      <c r="K414" s="320">
        <f>'Támogatás szorzat tényezői'!$C$2*'Támogatás szorzat tényezői'!$C$5*J414*(H414/1000)</f>
        <v>205200</v>
      </c>
      <c r="L414" s="300"/>
      <c r="M414" s="319">
        <f t="shared" si="6"/>
        <v>8</v>
      </c>
    </row>
    <row r="415" spans="1:13" ht="15.75" hidden="1" customHeight="1" x14ac:dyDescent="0.25">
      <c r="A415" s="319">
        <v>53</v>
      </c>
      <c r="B415" s="298" t="s">
        <v>2864</v>
      </c>
      <c r="C415" s="313" t="s">
        <v>2778</v>
      </c>
      <c r="D415" s="317" t="s">
        <v>1311</v>
      </c>
      <c r="E415" s="317" t="s">
        <v>3459</v>
      </c>
      <c r="F415" s="317" t="s">
        <v>3507</v>
      </c>
      <c r="G415" s="299" t="s">
        <v>1290</v>
      </c>
      <c r="H415" s="299">
        <v>180</v>
      </c>
      <c r="I415" s="299">
        <v>250</v>
      </c>
      <c r="J415" s="298">
        <f>IF(OR(G415="ágazaton kívüli",G415="n.a."),2.2,IF(OR(E415=2,E415=3,E415=4),VLOOKUP(G415,Szakmaszorzók!$B$2:$D$25,2,0),VLOOKUP(G415,Szakmaszorzók!$B$2:$D$25,3,0)))</f>
        <v>2.85</v>
      </c>
      <c r="K415" s="320">
        <f>'Támogatás szorzat tényezői'!$C$2*'Támogatás szorzat tényezői'!$C$5*J415*(H415/1000)</f>
        <v>184680</v>
      </c>
      <c r="L415" s="300"/>
      <c r="M415" s="319">
        <f t="shared" si="6"/>
        <v>8</v>
      </c>
    </row>
    <row r="416" spans="1:13" ht="15.75" hidden="1" customHeight="1" x14ac:dyDescent="0.25">
      <c r="A416" s="319">
        <v>54</v>
      </c>
      <c r="B416" s="298" t="s">
        <v>3508</v>
      </c>
      <c r="C416" s="313" t="s">
        <v>1602</v>
      </c>
      <c r="D416" s="317" t="s">
        <v>1311</v>
      </c>
      <c r="E416" s="317" t="s">
        <v>3459</v>
      </c>
      <c r="F416" s="317" t="s">
        <v>3464</v>
      </c>
      <c r="G416" s="299" t="s">
        <v>1290</v>
      </c>
      <c r="H416" s="299">
        <v>400</v>
      </c>
      <c r="I416" s="299">
        <v>600</v>
      </c>
      <c r="J416" s="298">
        <f>IF(OR(G416="ágazaton kívüli",G416="n.a."),2.2,IF(OR(E416=2,E416=3,E416=4),VLOOKUP(G416,Szakmaszorzók!$B$2:$D$25,2,0),VLOOKUP(G416,Szakmaszorzók!$B$2:$D$25,3,0)))</f>
        <v>2.85</v>
      </c>
      <c r="K416" s="320">
        <f>'Támogatás szorzat tényezői'!$C$2*'Támogatás szorzat tényezői'!$C$5*J416*(H416/1000)</f>
        <v>410400</v>
      </c>
      <c r="L416" s="300"/>
      <c r="M416" s="319">
        <f t="shared" si="6"/>
        <v>8</v>
      </c>
    </row>
    <row r="417" spans="1:13" ht="15.75" hidden="1" customHeight="1" x14ac:dyDescent="0.25">
      <c r="A417" s="319">
        <v>55</v>
      </c>
      <c r="B417" s="298" t="s">
        <v>3509</v>
      </c>
      <c r="C417" s="313" t="s">
        <v>1603</v>
      </c>
      <c r="D417" s="317" t="s">
        <v>1311</v>
      </c>
      <c r="E417" s="317" t="s">
        <v>3459</v>
      </c>
      <c r="F417" s="317" t="s">
        <v>3460</v>
      </c>
      <c r="G417" s="299" t="s">
        <v>1290</v>
      </c>
      <c r="H417" s="299">
        <v>200</v>
      </c>
      <c r="I417" s="299">
        <v>300</v>
      </c>
      <c r="J417" s="298">
        <f>IF(OR(G417="ágazaton kívüli",G417="n.a."),2.2,IF(OR(E417=2,E417=3,E417=4),VLOOKUP(G417,Szakmaszorzók!$B$2:$D$25,2,0),VLOOKUP(G417,Szakmaszorzók!$B$2:$D$25,3,0)))</f>
        <v>2.85</v>
      </c>
      <c r="K417" s="320">
        <f>'Támogatás szorzat tényezői'!$C$2*'Támogatás szorzat tényezői'!$C$5*J417*(H417/1000)</f>
        <v>205200</v>
      </c>
      <c r="L417" s="300"/>
      <c r="M417" s="319">
        <f t="shared" si="6"/>
        <v>8</v>
      </c>
    </row>
    <row r="418" spans="1:13" ht="15.75" hidden="1" customHeight="1" x14ac:dyDescent="0.25">
      <c r="A418" s="319">
        <v>56</v>
      </c>
      <c r="B418" s="298" t="s">
        <v>2858</v>
      </c>
      <c r="C418" s="313" t="s">
        <v>1604</v>
      </c>
      <c r="D418" s="317" t="s">
        <v>1311</v>
      </c>
      <c r="E418" s="317" t="s">
        <v>3459</v>
      </c>
      <c r="F418" s="317" t="s">
        <v>3505</v>
      </c>
      <c r="G418" s="299" t="s">
        <v>1290</v>
      </c>
      <c r="H418" s="299">
        <v>240</v>
      </c>
      <c r="I418" s="299">
        <v>360</v>
      </c>
      <c r="J418" s="298">
        <f>IF(OR(G418="ágazaton kívüli",G418="n.a."),2.2,IF(OR(E418=2,E418=3,E418=4),VLOOKUP(G418,Szakmaszorzók!$B$2:$D$25,2,0),VLOOKUP(G418,Szakmaszorzók!$B$2:$D$25,3,0)))</f>
        <v>2.85</v>
      </c>
      <c r="K418" s="320">
        <f>'Támogatás szorzat tényezői'!$C$2*'Támogatás szorzat tényezői'!$C$5*J418*(H418/1000)</f>
        <v>246240</v>
      </c>
      <c r="L418" s="300"/>
      <c r="M418" s="319">
        <f t="shared" si="6"/>
        <v>8</v>
      </c>
    </row>
    <row r="419" spans="1:13" ht="15.75" hidden="1" customHeight="1" x14ac:dyDescent="0.25">
      <c r="A419" s="319">
        <v>57</v>
      </c>
      <c r="B419" s="298" t="s">
        <v>3510</v>
      </c>
      <c r="C419" s="313" t="s">
        <v>1605</v>
      </c>
      <c r="D419" s="317" t="s">
        <v>1311</v>
      </c>
      <c r="E419" s="317" t="s">
        <v>3459</v>
      </c>
      <c r="F419" s="317" t="s">
        <v>3490</v>
      </c>
      <c r="G419" s="299" t="s">
        <v>1290</v>
      </c>
      <c r="H419" s="299">
        <v>100</v>
      </c>
      <c r="I419" s="299">
        <v>150</v>
      </c>
      <c r="J419" s="298">
        <f>IF(OR(G419="ágazaton kívüli",G419="n.a."),2.2,IF(OR(E419=2,E419=3,E419=4),VLOOKUP(G419,Szakmaszorzók!$B$2:$D$25,2,0),VLOOKUP(G419,Szakmaszorzók!$B$2:$D$25,3,0)))</f>
        <v>2.85</v>
      </c>
      <c r="K419" s="320">
        <f>'Támogatás szorzat tényezői'!$C$2*'Támogatás szorzat tényezői'!$C$5*J419*(H419/1000)</f>
        <v>102600</v>
      </c>
      <c r="L419" s="300"/>
      <c r="M419" s="319">
        <f t="shared" si="6"/>
        <v>8</v>
      </c>
    </row>
    <row r="420" spans="1:13" ht="15.75" hidden="1" customHeight="1" x14ac:dyDescent="0.25">
      <c r="A420" s="319">
        <v>295</v>
      </c>
      <c r="B420" s="298" t="s">
        <v>333</v>
      </c>
      <c r="C420" s="313" t="s">
        <v>1621</v>
      </c>
      <c r="D420" s="317" t="s">
        <v>1360</v>
      </c>
      <c r="E420" s="317" t="s">
        <v>3459</v>
      </c>
      <c r="F420" s="317" t="s">
        <v>3466</v>
      </c>
      <c r="G420" s="299" t="s">
        <v>1316</v>
      </c>
      <c r="H420" s="299">
        <v>240</v>
      </c>
      <c r="I420" s="299">
        <v>360</v>
      </c>
      <c r="J420" s="298">
        <f>IF(OR(G420="ágazaton kívüli",G420="n.a."),2.2,IF(OR(E420=2,E420=3,E420=4),VLOOKUP(G420,Szakmaszorzók!$B$2:$D$25,2,0),VLOOKUP(G420,Szakmaszorzók!$B$2:$D$25,3,0)))</f>
        <v>2.85</v>
      </c>
      <c r="K420" s="320">
        <f>'Támogatás szorzat tényezői'!$C$2*'Támogatás szorzat tényezői'!$C$5*J420*(H420/1000)</f>
        <v>246240</v>
      </c>
      <c r="L420" s="300"/>
      <c r="M420" s="319">
        <f t="shared" si="6"/>
        <v>8</v>
      </c>
    </row>
    <row r="421" spans="1:13" ht="15.75" hidden="1" customHeight="1" x14ac:dyDescent="0.25">
      <c r="A421" s="319">
        <v>296</v>
      </c>
      <c r="B421" s="298" t="s">
        <v>335</v>
      </c>
      <c r="C421" s="313" t="s">
        <v>2968</v>
      </c>
      <c r="D421" s="317" t="s">
        <v>1360</v>
      </c>
      <c r="E421" s="317" t="s">
        <v>3459</v>
      </c>
      <c r="F421" s="317" t="s">
        <v>3472</v>
      </c>
      <c r="G421" s="299" t="s">
        <v>1351</v>
      </c>
      <c r="H421" s="299">
        <v>800</v>
      </c>
      <c r="I421" s="299">
        <v>1200</v>
      </c>
      <c r="J421" s="298">
        <f>IF(OR(G421="ágazaton kívüli",G421="n.a."),2.2,IF(OR(E421=2,E421=3,E421=4),VLOOKUP(G421,Szakmaszorzók!$B$2:$D$25,2,0),VLOOKUP(G421,Szakmaszorzók!$B$2:$D$25,3,0)))</f>
        <v>2.2000000000000002</v>
      </c>
      <c r="K421" s="320">
        <f>'Támogatás szorzat tényezői'!$C$2*'Támogatás szorzat tényezői'!$C$5*J421*(H421/1000)</f>
        <v>633600.00000000012</v>
      </c>
      <c r="L421" s="300"/>
      <c r="M421" s="319">
        <f t="shared" si="6"/>
        <v>8</v>
      </c>
    </row>
    <row r="422" spans="1:13" ht="15.75" hidden="1" customHeight="1" x14ac:dyDescent="0.25">
      <c r="A422" s="319">
        <v>426</v>
      </c>
      <c r="B422" s="298" t="s">
        <v>3169</v>
      </c>
      <c r="C422" s="313" t="s">
        <v>3170</v>
      </c>
      <c r="D422" s="317" t="s">
        <v>3739</v>
      </c>
      <c r="E422" s="317" t="s">
        <v>3458</v>
      </c>
      <c r="F422" s="317" t="s">
        <v>3494</v>
      </c>
      <c r="G422" s="309" t="s">
        <v>1347</v>
      </c>
      <c r="H422" s="296">
        <v>200</v>
      </c>
      <c r="I422" s="296">
        <v>300</v>
      </c>
      <c r="J422" s="298">
        <f>IF(OR(G422="ágazaton kívüli",G422="n.a."),2.2,IF(OR(E422=2,E422=3,E422=4),VLOOKUP(G422,Szakmaszorzók!$B$2:$D$25,2,0),VLOOKUP(G422,Szakmaszorzók!$B$2:$D$25,3,0)))</f>
        <v>2.85</v>
      </c>
      <c r="K422" s="320">
        <f>'Támogatás szorzat tényezői'!$C$2*'Támogatás szorzat tényezői'!$C$5*J422*(H422/1000)</f>
        <v>205200</v>
      </c>
      <c r="L422" s="300"/>
      <c r="M422" s="319">
        <f t="shared" si="6"/>
        <v>8</v>
      </c>
    </row>
    <row r="423" spans="1:13" ht="15.75" hidden="1" customHeight="1" x14ac:dyDescent="0.25">
      <c r="A423" s="319">
        <v>85</v>
      </c>
      <c r="B423" s="298" t="s">
        <v>340</v>
      </c>
      <c r="C423" s="313" t="s">
        <v>1684</v>
      </c>
      <c r="D423" s="317" t="s">
        <v>1283</v>
      </c>
      <c r="E423" s="317" t="s">
        <v>3459</v>
      </c>
      <c r="F423" s="317" t="s">
        <v>3484</v>
      </c>
      <c r="G423" s="299" t="s">
        <v>1315</v>
      </c>
      <c r="H423" s="299">
        <v>400</v>
      </c>
      <c r="I423" s="299">
        <v>500</v>
      </c>
      <c r="J423" s="298">
        <f>IF(OR(G423="ágazaton kívüli",G423="n.a."),2.2,IF(OR(E423=2,E423=3,E423=4),VLOOKUP(G423,Szakmaszorzók!$B$2:$D$25,2,0),VLOOKUP(G423,Szakmaszorzók!$B$2:$D$25,3,0)))</f>
        <v>2.42</v>
      </c>
      <c r="K423" s="320">
        <f>'Támogatás szorzat tényezői'!$C$2*'Támogatás szorzat tényezői'!$C$5*J423*(H423/1000)</f>
        <v>348480</v>
      </c>
      <c r="L423" s="300"/>
      <c r="M423" s="319">
        <f t="shared" si="6"/>
        <v>8</v>
      </c>
    </row>
    <row r="424" spans="1:13" ht="15.75" hidden="1" customHeight="1" x14ac:dyDescent="0.25">
      <c r="A424" s="319">
        <v>427</v>
      </c>
      <c r="B424" s="298" t="s">
        <v>3188</v>
      </c>
      <c r="C424" s="313" t="s">
        <v>3189</v>
      </c>
      <c r="D424" s="317" t="s">
        <v>3739</v>
      </c>
      <c r="E424" s="317" t="s">
        <v>3459</v>
      </c>
      <c r="F424" s="317" t="s">
        <v>3492</v>
      </c>
      <c r="G424" s="7" t="s">
        <v>1347</v>
      </c>
      <c r="H424" s="296">
        <v>600</v>
      </c>
      <c r="I424" s="296">
        <v>800</v>
      </c>
      <c r="J424" s="298">
        <f>IF(OR(G424="ágazaton kívüli",G424="n.a."),2.2,IF(OR(E424=2,E424=3,E424=4),VLOOKUP(G424,Szakmaszorzók!$B$2:$D$25,2,0),VLOOKUP(G424,Szakmaszorzók!$B$2:$D$25,3,0)))</f>
        <v>2.85</v>
      </c>
      <c r="K424" s="320">
        <f>'Támogatás szorzat tényezői'!$C$2*'Támogatás szorzat tényezői'!$C$5*J424*(H424/1000)</f>
        <v>615600</v>
      </c>
      <c r="L424" s="300"/>
      <c r="M424" s="319">
        <f t="shared" si="6"/>
        <v>8</v>
      </c>
    </row>
    <row r="425" spans="1:13" ht="15.75" hidden="1" customHeight="1" x14ac:dyDescent="0.25">
      <c r="A425" s="319">
        <v>428</v>
      </c>
      <c r="B425" s="298" t="s">
        <v>3166</v>
      </c>
      <c r="C425" s="313" t="s">
        <v>3167</v>
      </c>
      <c r="D425" s="317" t="s">
        <v>3739</v>
      </c>
      <c r="E425" s="317" t="s">
        <v>3458</v>
      </c>
      <c r="F425" s="317" t="s">
        <v>3499</v>
      </c>
      <c r="G425" s="7" t="s">
        <v>1347</v>
      </c>
      <c r="H425" s="296">
        <v>200</v>
      </c>
      <c r="I425" s="296">
        <v>300</v>
      </c>
      <c r="J425" s="298">
        <f>IF(OR(G425="ágazaton kívüli",G425="n.a."),2.2,IF(OR(E425=2,E425=3,E425=4),VLOOKUP(G425,Szakmaszorzók!$B$2:$D$25,2,0),VLOOKUP(G425,Szakmaszorzók!$B$2:$D$25,3,0)))</f>
        <v>2.85</v>
      </c>
      <c r="K425" s="320">
        <f>'Támogatás szorzat tényezői'!$C$2*'Támogatás szorzat tényezői'!$C$5*J425*(H425/1000)</f>
        <v>205200</v>
      </c>
      <c r="L425" s="300"/>
      <c r="M425" s="319">
        <f t="shared" si="6"/>
        <v>8</v>
      </c>
    </row>
    <row r="426" spans="1:13" ht="15.75" hidden="1" customHeight="1" x14ac:dyDescent="0.25">
      <c r="A426" s="319">
        <v>58</v>
      </c>
      <c r="B426" s="298" t="s">
        <v>2889</v>
      </c>
      <c r="C426" s="314" t="s">
        <v>2890</v>
      </c>
      <c r="D426" s="317" t="s">
        <v>1302</v>
      </c>
      <c r="E426" s="317" t="s">
        <v>3458</v>
      </c>
      <c r="F426" s="317" t="s">
        <v>3483</v>
      </c>
      <c r="G426" s="7" t="s">
        <v>1301</v>
      </c>
      <c r="H426" s="7">
        <v>360</v>
      </c>
      <c r="I426" s="7">
        <v>400</v>
      </c>
      <c r="J426" s="298">
        <f>IF(OR(G426="ágazaton kívüli",G426="n.a."),2.2,IF(OR(E426=2,E426=3,E426=4),VLOOKUP(G426,Szakmaszorzók!$B$2:$D$25,2,0),VLOOKUP(G426,Szakmaszorzók!$B$2:$D$25,3,0)))</f>
        <v>2.85</v>
      </c>
      <c r="K426" s="320">
        <f>'Támogatás szorzat tényezői'!$C$2*'Támogatás szorzat tényezői'!$C$5*J426*(H426/1000)</f>
        <v>369360</v>
      </c>
      <c r="L426" s="301"/>
      <c r="M426" s="319">
        <f t="shared" si="6"/>
        <v>8</v>
      </c>
    </row>
    <row r="427" spans="1:13" ht="15.75" hidden="1" customHeight="1" x14ac:dyDescent="0.25">
      <c r="A427" s="319">
        <v>113</v>
      </c>
      <c r="B427" s="298" t="s">
        <v>3540</v>
      </c>
      <c r="C427" s="313" t="s">
        <v>1679</v>
      </c>
      <c r="D427" s="317" t="s">
        <v>1281</v>
      </c>
      <c r="E427" s="317" t="s">
        <v>3458</v>
      </c>
      <c r="F427" s="317" t="s">
        <v>3483</v>
      </c>
      <c r="G427" s="299" t="s">
        <v>1280</v>
      </c>
      <c r="H427" s="299">
        <v>150</v>
      </c>
      <c r="I427" s="299">
        <v>250</v>
      </c>
      <c r="J427" s="298">
        <f>IF(OR(G427="ágazaton kívüli",G427="n.a."),2.2,IF(OR(E427=2,E427=3,E427=4),VLOOKUP(G427,Szakmaszorzók!$B$2:$D$25,2,0),VLOOKUP(G427,Szakmaszorzók!$B$2:$D$25,3,0)))</f>
        <v>2.85</v>
      </c>
      <c r="K427" s="320">
        <f>'Támogatás szorzat tényezői'!$C$2*'Támogatás szorzat tényezői'!$C$5*J427*(H427/1000)</f>
        <v>153900</v>
      </c>
      <c r="L427" s="300"/>
      <c r="M427" s="319">
        <f t="shared" si="6"/>
        <v>8</v>
      </c>
    </row>
    <row r="428" spans="1:13" ht="15.75" hidden="1" customHeight="1" x14ac:dyDescent="0.25">
      <c r="A428" s="319">
        <v>135</v>
      </c>
      <c r="B428" s="298" t="s">
        <v>365</v>
      </c>
      <c r="C428" s="313" t="s">
        <v>1639</v>
      </c>
      <c r="D428" s="317" t="s">
        <v>1638</v>
      </c>
      <c r="E428" s="317" t="s">
        <v>3455</v>
      </c>
      <c r="F428" s="317" t="s">
        <v>3456</v>
      </c>
      <c r="G428" s="299" t="s">
        <v>1353</v>
      </c>
      <c r="H428" s="299">
        <v>400</v>
      </c>
      <c r="I428" s="299">
        <v>550</v>
      </c>
      <c r="J428" s="298">
        <f>IF(OR(G428="ágazaton kívüli",G428="n.a."),2.2,IF(OR(E428=2,E428=3,E428=4),VLOOKUP(G428,Szakmaszorzók!$B$2:$D$25,2,0),VLOOKUP(G428,Szakmaszorzók!$B$2:$D$25,3,0)))</f>
        <v>2.2000000000000002</v>
      </c>
      <c r="K428" s="320">
        <f>'Támogatás szorzat tényezői'!$C$2*'Támogatás szorzat tényezői'!$C$5*J428*(H428/1000)</f>
        <v>316800.00000000006</v>
      </c>
      <c r="L428" s="300"/>
      <c r="M428" s="319">
        <f t="shared" si="6"/>
        <v>8</v>
      </c>
    </row>
    <row r="429" spans="1:13" ht="15.75" hidden="1" customHeight="1" x14ac:dyDescent="0.25">
      <c r="A429" s="319">
        <v>147</v>
      </c>
      <c r="B429" s="298" t="s">
        <v>344</v>
      </c>
      <c r="C429" s="313" t="s">
        <v>1694</v>
      </c>
      <c r="D429" s="317" t="s">
        <v>1332</v>
      </c>
      <c r="E429" s="317" t="s">
        <v>3459</v>
      </c>
      <c r="F429" s="317" t="s">
        <v>3481</v>
      </c>
      <c r="G429" s="299" t="s">
        <v>1316</v>
      </c>
      <c r="H429" s="299">
        <v>320</v>
      </c>
      <c r="I429" s="299">
        <v>480</v>
      </c>
      <c r="J429" s="298">
        <f>IF(OR(G429="ágazaton kívüli",G429="n.a."),2.2,IF(OR(E429=2,E429=3,E429=4),VLOOKUP(G429,Szakmaszorzók!$B$2:$D$25,2,0),VLOOKUP(G429,Szakmaszorzók!$B$2:$D$25,3,0)))</f>
        <v>2.85</v>
      </c>
      <c r="K429" s="320">
        <f>'Támogatás szorzat tényezői'!$C$2*'Támogatás szorzat tényezői'!$C$5*J429*(H429/1000)</f>
        <v>328320</v>
      </c>
      <c r="L429" s="300"/>
      <c r="M429" s="319">
        <f t="shared" si="6"/>
        <v>8</v>
      </c>
    </row>
  </sheetData>
  <sheetProtection formatCells="0" formatColumns="0" formatRows="0" selectLockedCells="1" selectUnlockedCells="1"/>
  <autoFilter ref="A1:M429">
    <filterColumn colId="1">
      <filters>
        <filter val="Aranyműves"/>
      </filters>
    </filterColumn>
  </autoFilter>
  <hyperlinks>
    <hyperlink ref="L1" r:id="rId1" location="kereses"/>
  </hyperlinks>
  <pageMargins left="0.7" right="0.7" top="0.75" bottom="0.75" header="0.3" footer="0.3"/>
  <pageSetup paperSize="9" orientation="portrait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4"/>
  <sheetViews>
    <sheetView zoomScale="90" zoomScaleNormal="90" workbookViewId="0">
      <selection activeCell="C7" sqref="C7"/>
    </sheetView>
  </sheetViews>
  <sheetFormatPr defaultColWidth="8.7109375" defaultRowHeight="15" x14ac:dyDescent="0.25"/>
  <cols>
    <col min="1" max="1" width="8.7109375" style="106"/>
    <col min="2" max="2" width="37.42578125" style="106" customWidth="1"/>
    <col min="3" max="3" width="28" style="106" customWidth="1"/>
    <col min="4" max="4" width="29.7109375" style="106" customWidth="1"/>
    <col min="5" max="5" width="8.7109375" style="106"/>
    <col min="6" max="6" width="11.5703125" style="106" customWidth="1"/>
    <col min="7" max="16384" width="8.7109375" style="106"/>
  </cols>
  <sheetData>
    <row r="1" spans="1:18" ht="69.75" customHeight="1" thickBot="1" x14ac:dyDescent="0.3">
      <c r="A1" s="172" t="s">
        <v>372</v>
      </c>
      <c r="B1" s="172" t="s">
        <v>1278</v>
      </c>
      <c r="C1" s="172" t="s">
        <v>1967</v>
      </c>
      <c r="D1" s="172" t="s">
        <v>1966</v>
      </c>
      <c r="F1" s="171" t="s">
        <v>1965</v>
      </c>
      <c r="G1" s="170">
        <f>1200000*0.15</f>
        <v>180000</v>
      </c>
      <c r="J1" s="169"/>
      <c r="K1" s="164"/>
      <c r="L1" s="164"/>
      <c r="M1" s="164"/>
      <c r="N1" s="164"/>
      <c r="O1" s="164"/>
      <c r="P1" s="164"/>
      <c r="Q1" s="164"/>
      <c r="R1" s="164"/>
    </row>
    <row r="2" spans="1:18" ht="15.75" thickBot="1" x14ac:dyDescent="0.3">
      <c r="A2" s="168" t="s">
        <v>1964</v>
      </c>
      <c r="B2" s="167" t="s">
        <v>1293</v>
      </c>
      <c r="C2" s="166">
        <v>2.42</v>
      </c>
      <c r="D2" s="166">
        <v>2.42</v>
      </c>
      <c r="J2" s="164"/>
      <c r="K2" s="164"/>
      <c r="L2" s="164"/>
      <c r="M2" s="164"/>
      <c r="N2" s="164"/>
      <c r="O2" s="164"/>
      <c r="P2" s="164"/>
      <c r="Q2" s="164"/>
      <c r="R2" s="164"/>
    </row>
    <row r="3" spans="1:18" ht="15.75" thickBot="1" x14ac:dyDescent="0.3">
      <c r="A3" s="168" t="s">
        <v>1963</v>
      </c>
      <c r="B3" s="167" t="s">
        <v>1328</v>
      </c>
      <c r="C3" s="166">
        <v>2.85</v>
      </c>
      <c r="D3" s="166">
        <v>2.85</v>
      </c>
      <c r="J3" s="164"/>
      <c r="K3" s="164"/>
      <c r="L3" s="164"/>
      <c r="M3" s="164"/>
      <c r="N3" s="164"/>
      <c r="O3" s="164"/>
      <c r="P3" s="164"/>
      <c r="Q3" s="164"/>
      <c r="R3" s="164"/>
    </row>
    <row r="4" spans="1:18" ht="15.75" thickBot="1" x14ac:dyDescent="0.3">
      <c r="A4" s="168" t="s">
        <v>1962</v>
      </c>
      <c r="B4" s="167" t="s">
        <v>1285</v>
      </c>
      <c r="C4" s="166">
        <v>2.2000000000000002</v>
      </c>
      <c r="D4" s="166">
        <v>2.2000000000000002</v>
      </c>
      <c r="J4" s="164"/>
      <c r="K4" s="164"/>
      <c r="L4" s="164"/>
      <c r="M4" s="164"/>
      <c r="N4" s="164"/>
      <c r="O4" s="164"/>
      <c r="P4" s="164"/>
      <c r="Q4" s="164"/>
      <c r="R4" s="164"/>
    </row>
    <row r="5" spans="1:18" ht="15.75" thickBot="1" x14ac:dyDescent="0.3">
      <c r="A5" s="168" t="s">
        <v>1961</v>
      </c>
      <c r="B5" s="167" t="s">
        <v>1290</v>
      </c>
      <c r="C5" s="166">
        <v>2.42</v>
      </c>
      <c r="D5" s="165">
        <v>2.85</v>
      </c>
      <c r="J5" s="164"/>
      <c r="K5" s="164"/>
      <c r="L5" s="164"/>
      <c r="M5" s="164"/>
      <c r="N5" s="164"/>
      <c r="O5" s="164"/>
      <c r="P5" s="164"/>
      <c r="Q5" s="164"/>
      <c r="R5" s="164"/>
    </row>
    <row r="6" spans="1:18" ht="15.75" thickBot="1" x14ac:dyDescent="0.3">
      <c r="A6" s="168" t="s">
        <v>1960</v>
      </c>
      <c r="B6" s="167" t="s">
        <v>1296</v>
      </c>
      <c r="C6" s="166">
        <v>2.2000000000000002</v>
      </c>
      <c r="D6" s="166">
        <v>2.2000000000000002</v>
      </c>
      <c r="J6" s="164"/>
      <c r="K6" s="164"/>
      <c r="L6" s="164"/>
      <c r="M6" s="164"/>
      <c r="N6" s="164"/>
      <c r="O6" s="164"/>
      <c r="P6" s="164"/>
      <c r="Q6" s="164"/>
      <c r="R6" s="164"/>
    </row>
    <row r="7" spans="1:18" ht="15.75" thickBot="1" x14ac:dyDescent="0.3">
      <c r="A7" s="168" t="s">
        <v>1959</v>
      </c>
      <c r="B7" s="167" t="s">
        <v>1282</v>
      </c>
      <c r="C7" s="166">
        <v>2.42</v>
      </c>
      <c r="D7" s="166">
        <v>2.42</v>
      </c>
      <c r="J7" s="164"/>
      <c r="K7" s="164"/>
      <c r="L7" s="164"/>
      <c r="M7" s="164"/>
      <c r="N7" s="164"/>
      <c r="O7" s="164"/>
      <c r="P7" s="164"/>
      <c r="Q7" s="164"/>
      <c r="R7" s="164"/>
    </row>
    <row r="8" spans="1:18" ht="15.75" thickBot="1" x14ac:dyDescent="0.3">
      <c r="A8" s="168" t="s">
        <v>1958</v>
      </c>
      <c r="B8" s="167" t="s">
        <v>1315</v>
      </c>
      <c r="C8" s="166">
        <v>2.42</v>
      </c>
      <c r="D8" s="166">
        <v>2.42</v>
      </c>
      <c r="J8" s="164"/>
      <c r="K8" s="164"/>
      <c r="L8" s="164"/>
      <c r="M8" s="164"/>
      <c r="N8" s="164"/>
      <c r="O8" s="164"/>
      <c r="P8" s="164"/>
      <c r="Q8" s="164"/>
      <c r="R8" s="164"/>
    </row>
    <row r="9" spans="1:18" ht="15.75" thickBot="1" x14ac:dyDescent="0.3">
      <c r="A9" s="168" t="s">
        <v>1957</v>
      </c>
      <c r="B9" s="167" t="s">
        <v>1289</v>
      </c>
      <c r="C9" s="166">
        <v>2.42</v>
      </c>
      <c r="D9" s="166">
        <v>2.42</v>
      </c>
      <c r="J9" s="164"/>
      <c r="K9" s="164"/>
      <c r="L9" s="164"/>
      <c r="M9" s="164"/>
      <c r="N9" s="164"/>
      <c r="O9" s="164"/>
      <c r="P9" s="164"/>
      <c r="Q9" s="164"/>
      <c r="R9" s="164"/>
    </row>
    <row r="10" spans="1:18" ht="15.75" thickBot="1" x14ac:dyDescent="0.3">
      <c r="A10" s="168" t="s">
        <v>1956</v>
      </c>
      <c r="B10" s="167" t="s">
        <v>1389</v>
      </c>
      <c r="C10" s="166">
        <v>2.2000000000000002</v>
      </c>
      <c r="D10" s="166">
        <v>2.2000000000000002</v>
      </c>
      <c r="J10" s="164"/>
      <c r="K10" s="164"/>
      <c r="L10" s="164"/>
      <c r="M10" s="164"/>
      <c r="N10" s="164"/>
      <c r="O10" s="164"/>
      <c r="P10" s="164"/>
      <c r="Q10" s="164"/>
      <c r="R10" s="164"/>
    </row>
    <row r="11" spans="1:18" ht="15.75" thickBot="1" x14ac:dyDescent="0.3">
      <c r="A11" s="168" t="s">
        <v>1955</v>
      </c>
      <c r="B11" s="167" t="s">
        <v>1301</v>
      </c>
      <c r="C11" s="166">
        <v>2.42</v>
      </c>
      <c r="D11" s="165">
        <v>2.85</v>
      </c>
      <c r="J11" s="164"/>
      <c r="K11" s="164"/>
      <c r="L11" s="164"/>
      <c r="M11" s="164"/>
      <c r="N11" s="164"/>
      <c r="O11" s="164"/>
      <c r="P11" s="164"/>
      <c r="Q11" s="164"/>
      <c r="R11" s="164"/>
    </row>
    <row r="12" spans="1:18" ht="15.75" thickBot="1" x14ac:dyDescent="0.3">
      <c r="A12" s="168" t="s">
        <v>1954</v>
      </c>
      <c r="B12" s="167" t="s">
        <v>1321</v>
      </c>
      <c r="C12" s="284">
        <v>2.85</v>
      </c>
      <c r="D12" s="284">
        <v>2.85</v>
      </c>
      <c r="F12" s="285" t="s">
        <v>2854</v>
      </c>
      <c r="G12" s="285"/>
      <c r="H12" s="285"/>
      <c r="I12" s="285"/>
      <c r="J12" s="286"/>
      <c r="K12" s="164"/>
      <c r="L12" s="164"/>
      <c r="M12" s="164"/>
      <c r="N12" s="164"/>
      <c r="O12" s="164"/>
      <c r="P12" s="164"/>
      <c r="Q12" s="164"/>
      <c r="R12" s="164"/>
    </row>
    <row r="13" spans="1:18" ht="15.75" thickBot="1" x14ac:dyDescent="0.3">
      <c r="A13" s="168" t="s">
        <v>1953</v>
      </c>
      <c r="B13" s="167" t="s">
        <v>1353</v>
      </c>
      <c r="C13" s="166">
        <v>2.2000000000000002</v>
      </c>
      <c r="D13" s="166">
        <v>2.2000000000000002</v>
      </c>
      <c r="J13" s="164"/>
      <c r="K13" s="164"/>
      <c r="L13" s="164"/>
      <c r="M13" s="164"/>
      <c r="N13" s="164"/>
      <c r="O13" s="164"/>
      <c r="P13" s="164"/>
      <c r="Q13" s="164"/>
      <c r="R13" s="164"/>
    </row>
    <row r="14" spans="1:18" ht="15.75" thickBot="1" x14ac:dyDescent="0.3">
      <c r="A14" s="168" t="s">
        <v>1952</v>
      </c>
      <c r="B14" s="167" t="s">
        <v>1351</v>
      </c>
      <c r="C14" s="166">
        <v>2.2000000000000002</v>
      </c>
      <c r="D14" s="166">
        <v>2.2000000000000002</v>
      </c>
      <c r="J14" s="164"/>
      <c r="K14" s="164"/>
      <c r="L14" s="164"/>
      <c r="M14" s="164"/>
      <c r="N14" s="164"/>
      <c r="O14" s="164"/>
      <c r="P14" s="164"/>
      <c r="Q14" s="164"/>
      <c r="R14" s="164"/>
    </row>
    <row r="15" spans="1:18" ht="15.75" thickBot="1" x14ac:dyDescent="0.3">
      <c r="A15" s="168" t="s">
        <v>1951</v>
      </c>
      <c r="B15" s="167" t="s">
        <v>1347</v>
      </c>
      <c r="C15" s="166">
        <v>2.42</v>
      </c>
      <c r="D15" s="165">
        <v>2.85</v>
      </c>
      <c r="J15" s="164"/>
      <c r="K15" s="164"/>
      <c r="L15" s="164"/>
      <c r="M15" s="164"/>
      <c r="N15" s="164"/>
      <c r="O15" s="164"/>
      <c r="P15" s="164"/>
      <c r="Q15" s="164"/>
      <c r="R15" s="164"/>
    </row>
    <row r="16" spans="1:18" ht="15.75" thickBot="1" x14ac:dyDescent="0.3">
      <c r="A16" s="168" t="s">
        <v>1950</v>
      </c>
      <c r="B16" s="167" t="s">
        <v>1340</v>
      </c>
      <c r="C16" s="166">
        <v>2.2000000000000002</v>
      </c>
      <c r="D16" s="166">
        <v>2.2000000000000002</v>
      </c>
      <c r="J16" s="164"/>
      <c r="K16" s="164"/>
      <c r="L16" s="164"/>
      <c r="M16" s="164"/>
      <c r="N16" s="164"/>
      <c r="O16" s="164"/>
      <c r="P16" s="164"/>
      <c r="Q16" s="164"/>
      <c r="R16" s="164"/>
    </row>
    <row r="17" spans="1:18" ht="15.75" thickBot="1" x14ac:dyDescent="0.3">
      <c r="A17" s="168" t="s">
        <v>1949</v>
      </c>
      <c r="B17" s="167" t="s">
        <v>1298</v>
      </c>
      <c r="C17" s="166">
        <v>2.42</v>
      </c>
      <c r="D17" s="166">
        <v>2.42</v>
      </c>
      <c r="J17" s="164"/>
      <c r="K17" s="164"/>
      <c r="L17" s="164"/>
      <c r="M17" s="164"/>
      <c r="N17" s="164"/>
      <c r="O17" s="164"/>
      <c r="P17" s="164"/>
      <c r="Q17" s="164"/>
      <c r="R17" s="164"/>
    </row>
    <row r="18" spans="1:18" ht="15.75" thickBot="1" x14ac:dyDescent="0.3">
      <c r="A18" s="168" t="s">
        <v>1948</v>
      </c>
      <c r="B18" s="167" t="s">
        <v>1316</v>
      </c>
      <c r="C18" s="166">
        <v>2.42</v>
      </c>
      <c r="D18" s="165">
        <v>2.85</v>
      </c>
      <c r="F18" s="285" t="s">
        <v>3765</v>
      </c>
      <c r="G18" s="285"/>
      <c r="H18" s="285"/>
      <c r="I18" s="285"/>
      <c r="J18" s="286"/>
      <c r="K18" s="164"/>
      <c r="L18" s="164"/>
      <c r="M18" s="164"/>
      <c r="N18" s="164"/>
      <c r="O18" s="164"/>
      <c r="P18" s="164"/>
      <c r="Q18" s="164"/>
      <c r="R18" s="164"/>
    </row>
    <row r="19" spans="1:18" ht="15.75" thickBot="1" x14ac:dyDescent="0.3">
      <c r="A19" s="168" t="s">
        <v>1947</v>
      </c>
      <c r="B19" s="167" t="s">
        <v>1373</v>
      </c>
      <c r="C19" s="166">
        <v>2.2000000000000002</v>
      </c>
      <c r="D19" s="166">
        <v>2.2000000000000002</v>
      </c>
      <c r="J19" s="164"/>
      <c r="K19" s="164"/>
      <c r="L19" s="164"/>
      <c r="M19" s="164"/>
      <c r="N19" s="164"/>
      <c r="O19" s="164"/>
      <c r="P19" s="164"/>
      <c r="Q19" s="164"/>
      <c r="R19" s="164"/>
    </row>
    <row r="20" spans="1:18" ht="15.75" thickBot="1" x14ac:dyDescent="0.3">
      <c r="A20" s="168" t="s">
        <v>1946</v>
      </c>
      <c r="B20" s="167" t="s">
        <v>1287</v>
      </c>
      <c r="C20" s="166">
        <v>2.85</v>
      </c>
      <c r="D20" s="166">
        <v>2.85</v>
      </c>
      <c r="J20" s="164"/>
      <c r="K20" s="164"/>
      <c r="L20" s="164"/>
      <c r="M20" s="164"/>
      <c r="N20" s="164"/>
      <c r="O20" s="164"/>
      <c r="P20" s="164"/>
      <c r="Q20" s="164"/>
      <c r="R20" s="164"/>
    </row>
    <row r="21" spans="1:18" ht="15.75" thickBot="1" x14ac:dyDescent="0.3">
      <c r="A21" s="168" t="s">
        <v>1945</v>
      </c>
      <c r="B21" s="167" t="s">
        <v>1325</v>
      </c>
      <c r="C21" s="166">
        <v>2.2000000000000002</v>
      </c>
      <c r="D21" s="166">
        <v>2.2000000000000002</v>
      </c>
      <c r="J21" s="164"/>
      <c r="K21" s="164"/>
      <c r="L21" s="164"/>
      <c r="M21" s="164"/>
      <c r="N21" s="164"/>
      <c r="O21" s="164"/>
      <c r="P21" s="164"/>
      <c r="Q21" s="164"/>
      <c r="R21" s="164"/>
    </row>
    <row r="22" spans="1:18" ht="15.75" thickBot="1" x14ac:dyDescent="0.3">
      <c r="A22" s="168" t="s">
        <v>1944</v>
      </c>
      <c r="B22" s="167" t="s">
        <v>1327</v>
      </c>
      <c r="C22" s="166">
        <v>2.42</v>
      </c>
      <c r="D22" s="166">
        <v>2.42</v>
      </c>
      <c r="J22" s="164"/>
      <c r="K22" s="164"/>
      <c r="L22" s="164"/>
      <c r="M22" s="164"/>
      <c r="N22" s="164"/>
      <c r="O22" s="164"/>
      <c r="P22" s="164"/>
      <c r="Q22" s="164"/>
      <c r="R22" s="164"/>
    </row>
    <row r="23" spans="1:18" ht="15.75" thickBot="1" x14ac:dyDescent="0.3">
      <c r="A23" s="168" t="s">
        <v>1943</v>
      </c>
      <c r="B23" s="167" t="s">
        <v>1338</v>
      </c>
      <c r="C23" s="166">
        <v>2.2000000000000002</v>
      </c>
      <c r="D23" s="166">
        <v>2.2000000000000002</v>
      </c>
      <c r="J23" s="164"/>
      <c r="K23" s="164"/>
      <c r="L23" s="164"/>
      <c r="M23" s="164"/>
      <c r="N23" s="164"/>
      <c r="O23" s="164"/>
      <c r="P23" s="164"/>
      <c r="Q23" s="164"/>
      <c r="R23" s="164"/>
    </row>
    <row r="24" spans="1:18" ht="15.75" thickBot="1" x14ac:dyDescent="0.3">
      <c r="A24" s="168" t="s">
        <v>1942</v>
      </c>
      <c r="B24" s="167" t="s">
        <v>1303</v>
      </c>
      <c r="C24" s="166">
        <v>2.2000000000000002</v>
      </c>
      <c r="D24" s="166">
        <v>2.2000000000000002</v>
      </c>
      <c r="J24" s="164"/>
      <c r="K24" s="164"/>
      <c r="L24" s="164"/>
      <c r="M24" s="164"/>
      <c r="N24" s="164"/>
      <c r="O24" s="164"/>
      <c r="P24" s="164"/>
      <c r="Q24" s="164"/>
      <c r="R24" s="164"/>
    </row>
    <row r="25" spans="1:18" ht="15.75" thickBot="1" x14ac:dyDescent="0.3">
      <c r="A25" s="168" t="s">
        <v>1941</v>
      </c>
      <c r="B25" s="167" t="s">
        <v>1280</v>
      </c>
      <c r="C25" s="166">
        <v>2.42</v>
      </c>
      <c r="D25" s="165">
        <v>2.85</v>
      </c>
      <c r="J25" s="164"/>
      <c r="K25" s="164"/>
      <c r="L25" s="164"/>
      <c r="M25" s="164"/>
      <c r="N25" s="164"/>
      <c r="O25" s="164"/>
      <c r="P25" s="164"/>
      <c r="Q25" s="164"/>
      <c r="R25" s="164"/>
    </row>
    <row r="27" spans="1:18" x14ac:dyDescent="0.25">
      <c r="A27" s="163" t="s">
        <v>1940</v>
      </c>
    </row>
    <row r="37" spans="6:10" x14ac:dyDescent="0.25">
      <c r="F37" s="106" t="s">
        <v>2870</v>
      </c>
      <c r="H37" s="295" t="s">
        <v>1301</v>
      </c>
      <c r="I37" s="295" t="s">
        <v>3435</v>
      </c>
      <c r="J37" s="295" t="s">
        <v>3436</v>
      </c>
    </row>
    <row r="38" spans="6:10" x14ac:dyDescent="0.25">
      <c r="H38" s="295" t="s">
        <v>1301</v>
      </c>
      <c r="I38" s="295" t="s">
        <v>3437</v>
      </c>
      <c r="J38" s="295" t="s">
        <v>3438</v>
      </c>
    </row>
    <row r="39" spans="6:10" x14ac:dyDescent="0.25">
      <c r="H39" s="295" t="s">
        <v>1301</v>
      </c>
      <c r="I39" s="295" t="s">
        <v>3439</v>
      </c>
      <c r="J39" s="295" t="s">
        <v>3440</v>
      </c>
    </row>
    <row r="50" spans="8:10" x14ac:dyDescent="0.25">
      <c r="H50" s="295" t="s">
        <v>1301</v>
      </c>
      <c r="I50" s="295" t="s">
        <v>3441</v>
      </c>
      <c r="J50" s="295" t="s">
        <v>3438</v>
      </c>
    </row>
    <row r="51" spans="8:10" x14ac:dyDescent="0.25">
      <c r="H51" s="295" t="s">
        <v>1301</v>
      </c>
      <c r="I51" s="295" t="s">
        <v>3441</v>
      </c>
      <c r="J51" s="295" t="s">
        <v>3438</v>
      </c>
    </row>
    <row r="52" spans="8:10" x14ac:dyDescent="0.25">
      <c r="H52" s="295" t="s">
        <v>1301</v>
      </c>
      <c r="I52" s="295" t="s">
        <v>3442</v>
      </c>
      <c r="J52" s="295" t="s">
        <v>3438</v>
      </c>
    </row>
    <row r="53" spans="8:10" x14ac:dyDescent="0.25">
      <c r="H53" s="295" t="s">
        <v>1301</v>
      </c>
      <c r="I53" s="295" t="s">
        <v>3443</v>
      </c>
      <c r="J53" s="295" t="s">
        <v>3438</v>
      </c>
    </row>
    <row r="65" spans="8:10" x14ac:dyDescent="0.25">
      <c r="H65" s="295" t="s">
        <v>3444</v>
      </c>
      <c r="I65" s="295" t="s">
        <v>3445</v>
      </c>
      <c r="J65" s="295" t="s">
        <v>3446</v>
      </c>
    </row>
    <row r="66" spans="8:10" x14ac:dyDescent="0.25">
      <c r="H66" s="295" t="s">
        <v>3444</v>
      </c>
      <c r="I66" s="295" t="s">
        <v>3447</v>
      </c>
      <c r="J66" s="295" t="s">
        <v>3448</v>
      </c>
    </row>
    <row r="333" spans="8:10" x14ac:dyDescent="0.25">
      <c r="H333" s="106" t="s">
        <v>1303</v>
      </c>
      <c r="I333" s="295" t="s">
        <v>3439</v>
      </c>
      <c r="J333" s="295" t="s">
        <v>3449</v>
      </c>
    </row>
    <row r="353" spans="8:10" x14ac:dyDescent="0.25">
      <c r="H353" s="295" t="s">
        <v>1389</v>
      </c>
      <c r="I353" s="295" t="s">
        <v>3450</v>
      </c>
      <c r="J353" s="295" t="s">
        <v>3451</v>
      </c>
    </row>
    <row r="354" spans="8:10" x14ac:dyDescent="0.25">
      <c r="H354" s="295" t="s">
        <v>1389</v>
      </c>
      <c r="I354" s="295" t="s">
        <v>3450</v>
      </c>
      <c r="J354" s="295" t="s">
        <v>3451</v>
      </c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C16" sqref="C16"/>
    </sheetView>
  </sheetViews>
  <sheetFormatPr defaultRowHeight="15" x14ac:dyDescent="0.25"/>
  <cols>
    <col min="1" max="1" width="71.5703125" customWidth="1"/>
    <col min="2" max="2" width="50.7109375" customWidth="1"/>
    <col min="3" max="3" width="14.85546875" customWidth="1"/>
    <col min="4" max="4" width="13.5703125" customWidth="1"/>
  </cols>
  <sheetData>
    <row r="1" spans="1:4" s="106" customFormat="1" x14ac:dyDescent="0.25">
      <c r="A1" s="32" t="s">
        <v>2001</v>
      </c>
      <c r="B1" s="32" t="s">
        <v>2000</v>
      </c>
      <c r="C1" s="32" t="s">
        <v>2019</v>
      </c>
      <c r="D1" s="32" t="s">
        <v>1999</v>
      </c>
    </row>
    <row r="2" spans="1:4" ht="30" x14ac:dyDescent="0.25">
      <c r="A2" s="186" t="s">
        <v>2006</v>
      </c>
      <c r="B2" s="184" t="s">
        <v>1996</v>
      </c>
      <c r="C2" s="185">
        <v>1200000</v>
      </c>
      <c r="D2" s="7" t="s">
        <v>1997</v>
      </c>
    </row>
    <row r="3" spans="1:4" ht="45" x14ac:dyDescent="0.25">
      <c r="A3" s="186" t="s">
        <v>2007</v>
      </c>
      <c r="B3" s="186" t="s">
        <v>1998</v>
      </c>
      <c r="C3" s="187">
        <v>0.15</v>
      </c>
      <c r="D3" s="188"/>
    </row>
    <row r="4" spans="1:4" ht="45" x14ac:dyDescent="0.25">
      <c r="A4" s="188" t="s">
        <v>2009</v>
      </c>
      <c r="B4" s="190" t="s">
        <v>2008</v>
      </c>
      <c r="C4" s="189">
        <v>0.3</v>
      </c>
      <c r="D4" s="6"/>
    </row>
    <row r="5" spans="1:4" s="106" customFormat="1" ht="45" x14ac:dyDescent="0.25">
      <c r="A5" s="188" t="s">
        <v>2010</v>
      </c>
      <c r="B5" s="190" t="s">
        <v>2012</v>
      </c>
      <c r="C5" s="189">
        <v>0.3</v>
      </c>
      <c r="D5" s="6"/>
    </row>
    <row r="6" spans="1:4" s="106" customFormat="1" ht="45" x14ac:dyDescent="0.25">
      <c r="A6" s="188" t="s">
        <v>2011</v>
      </c>
      <c r="B6" s="190" t="s">
        <v>2013</v>
      </c>
      <c r="C6" s="189">
        <v>0.15</v>
      </c>
      <c r="D6" s="6"/>
    </row>
    <row r="7" spans="1:4" ht="45" x14ac:dyDescent="0.25">
      <c r="A7" s="188" t="s">
        <v>2003</v>
      </c>
      <c r="B7" s="184" t="s">
        <v>2014</v>
      </c>
      <c r="C7" s="189">
        <v>0.8</v>
      </c>
      <c r="D7" s="6"/>
    </row>
    <row r="8" spans="1:4" ht="45" x14ac:dyDescent="0.25">
      <c r="A8" s="188" t="s">
        <v>2002</v>
      </c>
      <c r="B8" s="190" t="s">
        <v>2015</v>
      </c>
      <c r="C8" s="189">
        <v>0.5</v>
      </c>
      <c r="D8" s="6"/>
    </row>
    <row r="9" spans="1:4" ht="45" x14ac:dyDescent="0.25">
      <c r="A9" s="186" t="s">
        <v>2004</v>
      </c>
      <c r="B9" s="186" t="s">
        <v>2016</v>
      </c>
      <c r="C9" s="5" t="s">
        <v>2005</v>
      </c>
      <c r="D9" s="6"/>
    </row>
    <row r="10" spans="1:4" ht="45" x14ac:dyDescent="0.25">
      <c r="A10" s="186" t="s">
        <v>2017</v>
      </c>
      <c r="B10" s="186" t="s">
        <v>2018</v>
      </c>
      <c r="C10" s="185">
        <v>360000</v>
      </c>
      <c r="D10" s="7" t="s">
        <v>1997</v>
      </c>
    </row>
    <row r="12" spans="1:4" ht="45" x14ac:dyDescent="0.25">
      <c r="A12" s="169" t="s">
        <v>1995</v>
      </c>
    </row>
    <row r="14" spans="1:4" x14ac:dyDescent="0.25">
      <c r="B14" s="190" t="s">
        <v>2405</v>
      </c>
      <c r="C14" s="6">
        <v>12</v>
      </c>
    </row>
    <row r="15" spans="1:4" ht="30" x14ac:dyDescent="0.25">
      <c r="B15" s="190" t="s">
        <v>2406</v>
      </c>
      <c r="C15" s="6">
        <v>8</v>
      </c>
    </row>
    <row r="16" spans="1:4" ht="30" x14ac:dyDescent="0.25">
      <c r="B16" s="190" t="s">
        <v>2407</v>
      </c>
      <c r="C16" s="6">
        <v>4</v>
      </c>
    </row>
    <row r="19" spans="1:4" ht="150" x14ac:dyDescent="0.25">
      <c r="A19" s="186" t="s">
        <v>2408</v>
      </c>
      <c r="B19" s="186" t="s">
        <v>2409</v>
      </c>
      <c r="C19" s="185">
        <v>360000</v>
      </c>
      <c r="D19" s="7" t="s">
        <v>1997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A37"/>
  <sheetViews>
    <sheetView topLeftCell="A7" zoomScaleNormal="100" zoomScaleSheetLayoutView="100" workbookViewId="0">
      <selection activeCell="C7" sqref="C7:H7"/>
    </sheetView>
  </sheetViews>
  <sheetFormatPr defaultColWidth="0" defaultRowHeight="0" customHeight="1" zeroHeight="1" x14ac:dyDescent="0.25"/>
  <cols>
    <col min="1" max="1" width="3.5703125" style="24" customWidth="1"/>
    <col min="2" max="2" width="48.140625" style="24" customWidth="1"/>
    <col min="3" max="3" width="15.42578125" style="24" customWidth="1"/>
    <col min="4" max="4" width="12.28515625" style="24" customWidth="1"/>
    <col min="5" max="5" width="13.85546875" style="116" customWidth="1"/>
    <col min="6" max="7" width="16.42578125" style="116" customWidth="1"/>
    <col min="8" max="8" width="12.7109375" style="24" customWidth="1"/>
    <col min="9" max="9" width="3.7109375" style="24" customWidth="1"/>
    <col min="10" max="22" width="9.140625" style="24" hidden="1" customWidth="1"/>
    <col min="23" max="27" width="5.7109375" style="24" hidden="1" customWidth="1"/>
    <col min="28" max="16384" width="9.140625" style="24" hidden="1"/>
  </cols>
  <sheetData>
    <row r="1" spans="1:9" ht="15.75" x14ac:dyDescent="0.25">
      <c r="A1" s="21"/>
      <c r="B1" s="22"/>
      <c r="C1" s="23"/>
      <c r="D1" s="23"/>
      <c r="E1" s="23"/>
      <c r="F1" s="23"/>
      <c r="G1" s="23"/>
      <c r="H1" s="23"/>
      <c r="I1" s="23"/>
    </row>
    <row r="2" spans="1:9" ht="113.25" customHeight="1" x14ac:dyDescent="0.25">
      <c r="A2" s="23"/>
      <c r="B2" s="333" t="s">
        <v>2830</v>
      </c>
      <c r="C2" s="333"/>
      <c r="D2" s="333"/>
      <c r="E2" s="333"/>
      <c r="F2" s="333"/>
      <c r="G2" s="333"/>
      <c r="H2" s="333"/>
      <c r="I2" s="23"/>
    </row>
    <row r="3" spans="1:9" ht="15.75" customHeight="1" x14ac:dyDescent="0.25">
      <c r="A3" s="336" t="s">
        <v>2829</v>
      </c>
      <c r="B3" s="336"/>
      <c r="C3" s="336"/>
      <c r="D3" s="336"/>
      <c r="E3" s="336"/>
      <c r="F3" s="336"/>
      <c r="G3" s="336"/>
      <c r="H3" s="336"/>
      <c r="I3" s="336"/>
    </row>
    <row r="4" spans="1:9" ht="15.75" x14ac:dyDescent="0.25">
      <c r="A4" s="23"/>
      <c r="B4" s="22"/>
      <c r="C4" s="23"/>
      <c r="D4" s="23"/>
      <c r="E4" s="23"/>
      <c r="F4" s="23"/>
      <c r="G4" s="23"/>
      <c r="H4" s="23"/>
      <c r="I4" s="23"/>
    </row>
    <row r="5" spans="1:9" ht="15.75" x14ac:dyDescent="0.25">
      <c r="A5" s="23"/>
      <c r="B5" s="25" t="s">
        <v>1893</v>
      </c>
      <c r="C5" s="23"/>
      <c r="D5" s="23"/>
      <c r="E5" s="23"/>
      <c r="F5" s="23"/>
      <c r="G5" s="23"/>
      <c r="H5" s="23"/>
      <c r="I5" s="23"/>
    </row>
    <row r="6" spans="1:9" ht="15.75" customHeight="1" x14ac:dyDescent="0.25">
      <c r="A6" s="23"/>
      <c r="B6" s="26" t="s">
        <v>384</v>
      </c>
      <c r="C6" s="345" t="str">
        <f ca="1">IFERROR(VLOOKUP(INDIRECT("Szakmai_oktatás_2!B4"),'Kedvezményezettek adatai'!$C$2:$D$51,2,0),"")</f>
        <v/>
      </c>
      <c r="D6" s="346"/>
      <c r="E6" s="346"/>
      <c r="F6" s="346"/>
      <c r="G6" s="346"/>
      <c r="H6" s="347"/>
      <c r="I6" s="23"/>
    </row>
    <row r="7" spans="1:9" ht="15.75" x14ac:dyDescent="0.25">
      <c r="A7" s="23"/>
      <c r="B7" s="26" t="s">
        <v>385</v>
      </c>
      <c r="C7" s="328" t="str">
        <f ca="1">IFERROR(VLOOKUP(C6,'Kedvezményezettek adatai'!D2:G51,4,0),"")</f>
        <v/>
      </c>
      <c r="D7" s="337"/>
      <c r="E7" s="337"/>
      <c r="F7" s="337"/>
      <c r="G7" s="337"/>
      <c r="H7" s="329"/>
      <c r="I7" s="23"/>
    </row>
    <row r="8" spans="1:9" ht="15.75" x14ac:dyDescent="0.25">
      <c r="A8" s="23"/>
      <c r="B8" s="26" t="s">
        <v>386</v>
      </c>
      <c r="C8" s="328" t="str">
        <f ca="1">IFERROR(VLOOKUP(C6,'Kedvezményezettek adatai'!$D$2:$E$51,2,0),"")</f>
        <v/>
      </c>
      <c r="D8" s="337"/>
      <c r="E8" s="337"/>
      <c r="F8" s="337"/>
      <c r="G8" s="337"/>
      <c r="H8" s="329"/>
      <c r="I8" s="23"/>
    </row>
    <row r="9" spans="1:9" ht="15.75" customHeight="1" x14ac:dyDescent="0.25">
      <c r="A9" s="23"/>
      <c r="B9" s="26" t="s">
        <v>1879</v>
      </c>
      <c r="C9" s="334" t="str">
        <f ca="1">E35&amp;" "&amp;E36</f>
        <v xml:space="preserve"> </v>
      </c>
      <c r="D9" s="338"/>
      <c r="E9" s="338"/>
      <c r="F9" s="338"/>
      <c r="G9" s="338"/>
      <c r="H9" s="335"/>
      <c r="I9" s="23"/>
    </row>
    <row r="10" spans="1:9" ht="15.75" x14ac:dyDescent="0.25">
      <c r="A10" s="23"/>
      <c r="B10" s="26" t="s">
        <v>1866</v>
      </c>
      <c r="C10" s="339" t="str">
        <f ca="1">IFERROR(VLOOKUP(C6,'Kedvezményezettek adatai'!D2:AN51,37,0),"")</f>
        <v/>
      </c>
      <c r="D10" s="340"/>
      <c r="E10" s="340"/>
      <c r="F10" s="340"/>
      <c r="G10" s="340"/>
      <c r="H10" s="341"/>
      <c r="I10" s="23"/>
    </row>
    <row r="11" spans="1:9" ht="15.75" x14ac:dyDescent="0.25">
      <c r="A11" s="23"/>
      <c r="B11" s="26" t="s">
        <v>1867</v>
      </c>
      <c r="C11" s="339" t="str">
        <f ca="1">IFERROR(VLOOKUP(C6,'Kedvezményezettek adatai'!D2:AM51,36,0),"")</f>
        <v/>
      </c>
      <c r="D11" s="340"/>
      <c r="E11" s="340"/>
      <c r="F11" s="340"/>
      <c r="G11" s="340"/>
      <c r="H11" s="341"/>
      <c r="I11" s="23"/>
    </row>
    <row r="12" spans="1:9" ht="15.75" x14ac:dyDescent="0.25">
      <c r="A12" s="23"/>
      <c r="B12" s="26" t="s">
        <v>1880</v>
      </c>
      <c r="C12" s="339" t="str">
        <f ca="1">IFERROR(VLOOKUP(C6,'Kedvezményezettek adatai'!D2:M51,10,0),"")</f>
        <v/>
      </c>
      <c r="D12" s="340"/>
      <c r="E12" s="340"/>
      <c r="F12" s="340"/>
      <c r="G12" s="340"/>
      <c r="H12" s="341"/>
      <c r="I12" s="23"/>
    </row>
    <row r="13" spans="1:9" ht="15.75" customHeight="1" x14ac:dyDescent="0.25">
      <c r="A13" s="23"/>
      <c r="B13" s="26" t="s">
        <v>1265</v>
      </c>
      <c r="C13" s="342" t="str">
        <f ca="1">IFERROR(VLOOKUP(C6,'Kedvezményezettek adatai'!D2:N51,11,0),"")</f>
        <v/>
      </c>
      <c r="D13" s="343"/>
      <c r="E13" s="343"/>
      <c r="F13" s="343"/>
      <c r="G13" s="343"/>
      <c r="H13" s="344"/>
      <c r="I13" s="23"/>
    </row>
    <row r="14" spans="1:9" ht="37.5" customHeight="1" x14ac:dyDescent="0.25">
      <c r="A14" s="23"/>
      <c r="B14" s="22"/>
      <c r="C14" s="23"/>
      <c r="D14" s="23"/>
      <c r="E14" s="23"/>
      <c r="F14" s="23"/>
      <c r="G14" s="23"/>
      <c r="H14" s="23"/>
      <c r="I14" s="23"/>
    </row>
    <row r="15" spans="1:9" ht="204.75" x14ac:dyDescent="0.25">
      <c r="A15" s="23"/>
      <c r="B15" s="27" t="s">
        <v>1266</v>
      </c>
      <c r="C15" s="28" t="s">
        <v>3769</v>
      </c>
      <c r="D15" s="28" t="s">
        <v>3767</v>
      </c>
      <c r="E15" s="28" t="s">
        <v>3768</v>
      </c>
      <c r="F15" s="28" t="s">
        <v>2831</v>
      </c>
      <c r="G15" s="28" t="s">
        <v>2833</v>
      </c>
      <c r="H15" s="28" t="s">
        <v>3766</v>
      </c>
      <c r="I15" s="23"/>
    </row>
    <row r="16" spans="1:9" ht="15.75" x14ac:dyDescent="0.25">
      <c r="A16" s="23"/>
      <c r="B16" s="53" t="s">
        <v>1804</v>
      </c>
      <c r="C16" s="223" t="e">
        <f>#REF!+#REF!</f>
        <v>#REF!</v>
      </c>
      <c r="D16" s="223" t="e">
        <f>ROUND(#REF!,-3)</f>
        <v>#REF!</v>
      </c>
      <c r="E16" s="30" t="e">
        <f>#REF!</f>
        <v>#REF!</v>
      </c>
      <c r="F16" s="30" t="e">
        <f>#REF!</f>
        <v>#REF!</v>
      </c>
      <c r="G16" s="275"/>
      <c r="H16" s="275"/>
      <c r="I16" s="23"/>
    </row>
    <row r="17" spans="1:9" ht="15.75" x14ac:dyDescent="0.25">
      <c r="A17" s="23"/>
      <c r="B17" s="53" t="s">
        <v>1805</v>
      </c>
      <c r="C17" s="223" t="e">
        <f>#REF!+#REF!</f>
        <v>#REF!</v>
      </c>
      <c r="D17" s="223" t="e">
        <f>ROUND(#REF!,-3)</f>
        <v>#REF!</v>
      </c>
      <c r="E17" s="30" t="e">
        <f>#REF!</f>
        <v>#REF!</v>
      </c>
      <c r="F17" s="30" t="e">
        <f>#REF!</f>
        <v>#REF!</v>
      </c>
      <c r="G17" s="275"/>
      <c r="H17" s="275"/>
      <c r="I17" s="23"/>
    </row>
    <row r="18" spans="1:9" ht="15.75" x14ac:dyDescent="0.25">
      <c r="A18" s="23"/>
      <c r="B18" s="29" t="s">
        <v>1806</v>
      </c>
      <c r="C18" s="223" t="e">
        <f>#REF!</f>
        <v>#REF!</v>
      </c>
      <c r="D18" s="223" t="e">
        <f>#REF!</f>
        <v>#REF!</v>
      </c>
      <c r="E18" s="30" t="e">
        <f>#REF!</f>
        <v>#REF!</v>
      </c>
      <c r="F18" s="30" t="e">
        <f>#REF!</f>
        <v>#REF!</v>
      </c>
      <c r="G18" s="275"/>
      <c r="H18" s="275"/>
      <c r="I18" s="23"/>
    </row>
    <row r="19" spans="1:9" ht="15.75" customHeight="1" x14ac:dyDescent="0.25">
      <c r="A19" s="23"/>
      <c r="B19" s="29" t="s">
        <v>1870</v>
      </c>
      <c r="C19" s="223">
        <f>'Felnőttokt._Szakk.+Egyéb_képz_2'!G2</f>
        <v>0</v>
      </c>
      <c r="D19" s="223">
        <f>ROUND('Felnőttokt._Szakk.+Egyéb_képz_2'!O2,-3)</f>
        <v>0</v>
      </c>
      <c r="E19" s="30">
        <f>'Felnőttokt._Szakk.+Egyéb_képz_2'!P2</f>
        <v>0</v>
      </c>
      <c r="F19" s="30">
        <f>'Felnőttokt._Szakk.+Egyéb_képz_2'!Q2</f>
        <v>0</v>
      </c>
      <c r="G19" s="275"/>
      <c r="H19" s="275"/>
      <c r="I19" s="23"/>
    </row>
    <row r="20" spans="1:9" ht="15.75" x14ac:dyDescent="0.25">
      <c r="A20" s="23"/>
      <c r="B20" s="91" t="s">
        <v>1903</v>
      </c>
      <c r="C20" s="224" t="e">
        <f>SUM(C16:C19)</f>
        <v>#REF!</v>
      </c>
      <c r="D20" s="224" t="e">
        <f>SUM(D16:D19)</f>
        <v>#REF!</v>
      </c>
      <c r="E20" s="92" t="e">
        <f>SUM(E16:E19)</f>
        <v>#REF!</v>
      </c>
      <c r="F20" s="92" t="e">
        <f t="shared" ref="F20" si="0">SUM(F16:F19)</f>
        <v>#REF!</v>
      </c>
      <c r="G20" s="219"/>
      <c r="H20" s="219"/>
      <c r="I20" s="23"/>
    </row>
    <row r="21" spans="1:9" ht="78.75" x14ac:dyDescent="0.25">
      <c r="A21" s="23"/>
      <c r="B21" s="220" t="s">
        <v>3212</v>
      </c>
      <c r="C21" s="221"/>
      <c r="D21" s="222"/>
      <c r="E21" s="222"/>
      <c r="F21" s="92" t="e">
        <f>ROUND(D20-F20,-3)</f>
        <v>#REF!</v>
      </c>
      <c r="G21" s="92">
        <f>'Nyitó elszámolás összesítő'!F21</f>
        <v>0</v>
      </c>
      <c r="H21" s="92" t="e">
        <f>F21+G21</f>
        <v>#REF!</v>
      </c>
      <c r="I21" s="23"/>
    </row>
    <row r="22" spans="1:9" ht="15.75" x14ac:dyDescent="0.25">
      <c r="A22" s="23"/>
      <c r="B22" s="220" t="s">
        <v>2834</v>
      </c>
      <c r="C22" s="221"/>
      <c r="D22" s="222"/>
      <c r="E22" s="222"/>
      <c r="F22" s="276"/>
      <c r="G22" s="277"/>
      <c r="H22" s="92" t="e">
        <f>IF(H21&lt;0,H21*-1,0)</f>
        <v>#REF!</v>
      </c>
      <c r="I22" s="23"/>
    </row>
    <row r="23" spans="1:9" ht="15.75" x14ac:dyDescent="0.25">
      <c r="A23" s="23"/>
      <c r="B23" s="220" t="s">
        <v>2835</v>
      </c>
      <c r="C23" s="221"/>
      <c r="D23" s="222"/>
      <c r="E23" s="222"/>
      <c r="F23" s="276"/>
      <c r="G23" s="277"/>
      <c r="H23" s="92" t="e">
        <f>IF(H21&gt;0,H21,0)</f>
        <v>#REF!</v>
      </c>
      <c r="I23" s="23"/>
    </row>
    <row r="24" spans="1:9" ht="15.75" x14ac:dyDescent="0.25">
      <c r="A24" s="23"/>
      <c r="B24" s="104"/>
      <c r="C24" s="105"/>
      <c r="D24" s="105"/>
      <c r="E24" s="105"/>
      <c r="F24" s="105"/>
      <c r="G24" s="105"/>
      <c r="H24" s="105"/>
      <c r="I24" s="23"/>
    </row>
    <row r="25" spans="1:9" ht="15.75" x14ac:dyDescent="0.25">
      <c r="A25" s="23"/>
      <c r="B25" s="199" t="e">
        <f ca="1">VLOOKUP(C6,'Kedvezményezettek adatai'!$D$2:$T$51,17,0)&amp;", 2022. január"</f>
        <v>#N/A</v>
      </c>
      <c r="C25" s="107"/>
      <c r="D25" s="107"/>
      <c r="E25" s="107"/>
      <c r="F25" s="107"/>
      <c r="G25" s="107"/>
      <c r="H25" s="107"/>
      <c r="I25" s="23"/>
    </row>
    <row r="26" spans="1:9" ht="15.75" x14ac:dyDescent="0.25">
      <c r="A26" s="23"/>
      <c r="B26" s="108"/>
      <c r="C26" s="109"/>
      <c r="D26" s="109"/>
      <c r="E26" s="109"/>
      <c r="F26" s="109"/>
      <c r="G26" s="109"/>
      <c r="H26" s="109"/>
      <c r="I26" s="23"/>
    </row>
    <row r="27" spans="1:9" ht="15.75" x14ac:dyDescent="0.25">
      <c r="A27" s="23"/>
      <c r="B27" s="54" t="s">
        <v>1881</v>
      </c>
      <c r="C27" s="54"/>
      <c r="D27" s="54"/>
      <c r="E27" s="54"/>
      <c r="F27" s="54"/>
      <c r="G27" s="54"/>
      <c r="H27" s="54"/>
      <c r="I27" s="23"/>
    </row>
    <row r="28" spans="1:9" ht="15.75" x14ac:dyDescent="0.25">
      <c r="A28" s="23"/>
      <c r="B28" s="54" t="s">
        <v>1877</v>
      </c>
      <c r="C28" s="54"/>
      <c r="D28" s="54"/>
      <c r="E28" s="54"/>
      <c r="F28" s="54"/>
      <c r="G28" s="54"/>
      <c r="H28" s="54"/>
      <c r="I28" s="23"/>
    </row>
    <row r="29" spans="1:9" ht="15.75" x14ac:dyDescent="0.25">
      <c r="A29" s="23"/>
      <c r="B29" s="54" t="s">
        <v>1878</v>
      </c>
      <c r="C29" s="54"/>
      <c r="D29" s="54"/>
      <c r="E29" s="54"/>
      <c r="F29" s="54"/>
      <c r="G29" s="54"/>
      <c r="H29" s="54"/>
      <c r="I29" s="23"/>
    </row>
    <row r="30" spans="1:9" ht="15.75" x14ac:dyDescent="0.25">
      <c r="A30" s="23"/>
      <c r="B30" s="54" t="s">
        <v>1897</v>
      </c>
      <c r="C30" s="54"/>
      <c r="D30" s="54"/>
      <c r="E30" s="54"/>
      <c r="F30" s="54"/>
      <c r="G30" s="54"/>
      <c r="H30" s="54"/>
      <c r="I30" s="23"/>
    </row>
    <row r="31" spans="1:9" ht="15.75" x14ac:dyDescent="0.25">
      <c r="A31" s="23"/>
      <c r="B31" s="54" t="s">
        <v>2411</v>
      </c>
      <c r="C31" s="54"/>
      <c r="D31" s="54"/>
      <c r="E31" s="54"/>
      <c r="F31" s="54"/>
      <c r="G31" s="54"/>
      <c r="H31" s="54"/>
      <c r="I31" s="23"/>
    </row>
    <row r="32" spans="1:9" ht="33" customHeight="1" x14ac:dyDescent="0.25">
      <c r="A32" s="23"/>
      <c r="B32" s="110"/>
      <c r="C32" s="109"/>
      <c r="D32" s="109"/>
      <c r="E32" s="109"/>
      <c r="F32" s="109"/>
      <c r="G32" s="109"/>
      <c r="H32" s="109"/>
      <c r="I32" s="23"/>
    </row>
    <row r="33" spans="1:9" ht="15.75" x14ac:dyDescent="0.25">
      <c r="A33" s="23"/>
      <c r="C33" s="111"/>
      <c r="D33" s="111" t="s">
        <v>864</v>
      </c>
      <c r="E33" s="24"/>
      <c r="F33" s="24"/>
      <c r="G33" s="24"/>
      <c r="H33" s="111"/>
      <c r="I33" s="23"/>
    </row>
    <row r="34" spans="1:9" ht="15.75" x14ac:dyDescent="0.25">
      <c r="A34" s="23"/>
      <c r="C34" s="54"/>
      <c r="D34" s="54"/>
      <c r="E34" s="218" t="s">
        <v>1267</v>
      </c>
      <c r="F34" s="218"/>
      <c r="G34" s="218"/>
      <c r="H34" s="218"/>
      <c r="I34" s="23"/>
    </row>
    <row r="35" spans="1:9" ht="15.75" x14ac:dyDescent="0.25">
      <c r="A35" s="23"/>
      <c r="C35" s="54"/>
      <c r="D35" s="54"/>
      <c r="E35" s="218" t="str">
        <f ca="1">IFERROR(VLOOKUP(E37,'Kedvezményezettek adatai'!$D$2:$H$51,5,0),"")</f>
        <v/>
      </c>
      <c r="F35" s="218"/>
      <c r="G35" s="218"/>
      <c r="H35" s="218"/>
      <c r="I35" s="23"/>
    </row>
    <row r="36" spans="1:9" ht="15.75" x14ac:dyDescent="0.25">
      <c r="A36" s="23"/>
      <c r="C36" s="114"/>
      <c r="D36" s="54"/>
      <c r="E36" s="218" t="str">
        <f ca="1">IFERROR(VLOOKUP(E37,'Kedvezményezettek adatai'!$D$2:$I$51,6,0),"")</f>
        <v/>
      </c>
      <c r="F36" s="218"/>
      <c r="G36" s="218"/>
      <c r="H36" s="218"/>
      <c r="I36" s="23"/>
    </row>
    <row r="37" spans="1:9" ht="33.75" customHeight="1" x14ac:dyDescent="0.25">
      <c r="A37" s="23"/>
      <c r="C37" s="115"/>
      <c r="D37" s="115"/>
      <c r="E37" s="117" t="str">
        <f ca="1">IFERROR(IF(C6="","",C6),"")</f>
        <v/>
      </c>
      <c r="F37" s="117"/>
      <c r="G37" s="117"/>
      <c r="H37" s="217"/>
      <c r="I37" s="23"/>
    </row>
  </sheetData>
  <mergeCells count="10">
    <mergeCell ref="C11:H11"/>
    <mergeCell ref="C12:H12"/>
    <mergeCell ref="C13:H13"/>
    <mergeCell ref="B2:H2"/>
    <mergeCell ref="A3:I3"/>
    <mergeCell ref="C9:H9"/>
    <mergeCell ref="C8:H8"/>
    <mergeCell ref="C7:H7"/>
    <mergeCell ref="C6:H6"/>
    <mergeCell ref="C10:H10"/>
  </mergeCells>
  <conditionalFormatting sqref="E34:G37 D33">
    <cfRule type="expression" dxfId="8" priority="2">
      <formula>$E$35="-"</formula>
    </cfRule>
  </conditionalFormatting>
  <conditionalFormatting sqref="C6:H13">
    <cfRule type="containsBlanks" dxfId="7" priority="1">
      <formula>LEN(TRIM(C6))=0</formula>
    </cfRule>
  </conditionalFormatting>
  <printOptions horizontalCentered="1"/>
  <pageMargins left="0.51181102362204722" right="0.51181102362204722" top="0.55118110236220474" bottom="0.55118110236220474" header="0.31496062992125984" footer="0.31496062992125984"/>
  <pageSetup paperSize="9" scale="75" orientation="portrait" r:id="rId1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S2000"/>
  <sheetViews>
    <sheetView tabSelected="1" zoomScale="80" zoomScaleNormal="80" workbookViewId="0">
      <pane xSplit="1" ySplit="3" topLeftCell="B4" activePane="bottomRight" state="frozen"/>
      <selection activeCell="C36" sqref="C36"/>
      <selection pane="topRight" activeCell="C36" sqref="C36"/>
      <selection pane="bottomLeft" activeCell="C36" sqref="C36"/>
      <selection pane="bottomRight" activeCell="F4" sqref="C4:F4"/>
    </sheetView>
  </sheetViews>
  <sheetFormatPr defaultColWidth="9.140625" defaultRowHeight="15" zeroHeight="1" x14ac:dyDescent="0.25"/>
  <cols>
    <col min="1" max="1" width="15" style="324" hidden="1" customWidth="1"/>
    <col min="2" max="2" width="22" style="324" customWidth="1"/>
    <col min="3" max="3" width="18.85546875" style="324" customWidth="1"/>
    <col min="4" max="4" width="39.42578125" style="324" customWidth="1"/>
    <col min="5" max="5" width="20.42578125" style="324" bestFit="1" customWidth="1"/>
    <col min="6" max="6" width="43.5703125" style="324" customWidth="1"/>
    <col min="7" max="7" width="14.28515625" style="324" customWidth="1"/>
    <col min="8" max="8" width="12" style="324" customWidth="1"/>
    <col min="9" max="9" width="10.28515625" style="324" hidden="1" customWidth="1"/>
    <col min="10" max="10" width="19.5703125" style="324" hidden="1" customWidth="1"/>
    <col min="11" max="11" width="12.85546875" style="324" hidden="1" customWidth="1"/>
    <col min="12" max="12" width="15" style="324" hidden="1" customWidth="1"/>
    <col min="13" max="15" width="12.85546875" style="324" customWidth="1"/>
    <col min="16" max="16" width="19.140625" style="324" hidden="1" customWidth="1"/>
    <col min="17" max="17" width="16.85546875" style="324" hidden="1" customWidth="1"/>
    <col min="18" max="18" width="52.42578125" style="324" hidden="1" customWidth="1"/>
    <col min="19" max="16384" width="9.140625" style="324"/>
  </cols>
  <sheetData>
    <row r="1" spans="1:19" ht="30" customHeight="1" x14ac:dyDescent="0.25">
      <c r="A1" s="225"/>
      <c r="B1" s="228" t="s">
        <v>2827</v>
      </c>
      <c r="C1" s="18"/>
      <c r="D1" s="18"/>
      <c r="E1" s="229" t="s">
        <v>1869</v>
      </c>
      <c r="F1" s="229"/>
      <c r="G1" s="18"/>
      <c r="H1" s="18"/>
      <c r="I1" s="18"/>
      <c r="J1" s="18"/>
      <c r="K1" s="18"/>
      <c r="L1" s="17"/>
      <c r="M1" s="17"/>
      <c r="N1" s="128" t="s">
        <v>382</v>
      </c>
      <c r="O1" s="16"/>
      <c r="P1" s="137" t="s">
        <v>1895</v>
      </c>
      <c r="Q1" s="121"/>
      <c r="R1" s="260" t="s">
        <v>2825</v>
      </c>
    </row>
    <row r="2" spans="1:19" ht="30" customHeight="1" x14ac:dyDescent="0.25">
      <c r="A2" s="226"/>
      <c r="B2" s="230" t="s">
        <v>366</v>
      </c>
      <c r="C2" s="141"/>
      <c r="D2" s="259" t="s">
        <v>2826</v>
      </c>
      <c r="E2" s="270">
        <f>COUNTBLANK(B4:G103)</f>
        <v>500</v>
      </c>
      <c r="F2" s="141"/>
      <c r="G2" s="132">
        <f>SUM(G4:G103)</f>
        <v>0</v>
      </c>
      <c r="H2" s="231"/>
      <c r="I2" s="232"/>
      <c r="J2" s="232"/>
      <c r="K2" s="232"/>
      <c r="L2" s="141"/>
      <c r="M2" s="144"/>
      <c r="N2" s="132">
        <f>SUM(N4:N103)</f>
        <v>0</v>
      </c>
      <c r="O2" s="125">
        <f>SUM(O4:O103)</f>
        <v>0</v>
      </c>
      <c r="P2" s="138">
        <f>SUM(P4:P103)</f>
        <v>0</v>
      </c>
      <c r="Q2" s="125">
        <f>SUM(Q4:Q103)</f>
        <v>0</v>
      </c>
      <c r="R2" s="261" t="str">
        <f>"LOGIKAI HIBÁK SZÁMA: "&amp;S2</f>
        <v>LOGIKAI HIBÁK SZÁMA: 0</v>
      </c>
      <c r="S2" s="264">
        <f>COUNTIF(R4:R103,"A ''G'' és/vagy a ''P'' oszlop értéke hibás! Kérjük balról jobbra haladva adja meg a helyes értékeket.")</f>
        <v>0</v>
      </c>
    </row>
    <row r="3" spans="1:19" ht="146.25" customHeight="1" x14ac:dyDescent="0.25">
      <c r="A3" s="129" t="s">
        <v>367</v>
      </c>
      <c r="B3" s="118" t="s">
        <v>1868</v>
      </c>
      <c r="C3" s="42" t="s">
        <v>871</v>
      </c>
      <c r="D3" s="42" t="s">
        <v>872</v>
      </c>
      <c r="E3" s="42" t="s">
        <v>368</v>
      </c>
      <c r="F3" s="42" t="s">
        <v>1882</v>
      </c>
      <c r="G3" s="42" t="s">
        <v>3771</v>
      </c>
      <c r="H3" s="43" t="s">
        <v>371</v>
      </c>
      <c r="I3" s="233" t="s">
        <v>376</v>
      </c>
      <c r="J3" s="233" t="s">
        <v>377</v>
      </c>
      <c r="K3" s="234" t="s">
        <v>370</v>
      </c>
      <c r="L3" s="142" t="s">
        <v>383</v>
      </c>
      <c r="M3" s="133" t="s">
        <v>874</v>
      </c>
      <c r="N3" s="134" t="s">
        <v>1611</v>
      </c>
      <c r="O3" s="135" t="s">
        <v>1612</v>
      </c>
      <c r="P3" s="139" t="s">
        <v>1896</v>
      </c>
      <c r="Q3" s="135" t="s">
        <v>2832</v>
      </c>
      <c r="R3" s="262" t="s">
        <v>2824</v>
      </c>
    </row>
    <row r="4" spans="1:19" ht="30" customHeight="1" x14ac:dyDescent="0.25">
      <c r="A4" s="227"/>
      <c r="B4" s="323" t="s">
        <v>1780</v>
      </c>
      <c r="C4" s="100"/>
      <c r="D4" s="100"/>
      <c r="E4" s="102"/>
      <c r="F4" s="100"/>
      <c r="G4" s="102"/>
      <c r="H4" s="97" t="str">
        <f>IFERROR(IF(E4="_2017_2018_ősz",VLOOKUP(F4,Háttértáblák!$L$2:$M$331,2,0),IF(E4="_2017_2018_keresztfélév",VLOOKUP(F4,Háttértáblák!$N$2:$O$326,2,0),IF(OR(E4="_2018_2019_ősz",E4="_2019_2020_ősz"),VLOOKUP(F4,Háttértáblák!$S$2:$T$334,2,0),VLOOKUP(F4,Háttértáblák!$U$2:$V$330,2,0)))),"")</f>
        <v/>
      </c>
      <c r="I4" s="97" t="str">
        <f t="shared" ref="I4:I67" si="0">"_"&amp;LEFT(H4,2)</f>
        <v>_</v>
      </c>
      <c r="J4" s="97" t="e">
        <f>IF(#REF!="","",E4&amp;"_"&amp;IF(#REF!=0.5,"fél_év",#REF!))</f>
        <v>#REF!</v>
      </c>
      <c r="K4" s="97" t="str">
        <f>IF(E4="_2019_2020_ősz",VLOOKUP(F4,#REF!,4,0),IF(OR(E4="_2018_2019_ősz",E4="_2018_2019_keresztfélév"),VLOOKUP(F4,#REF!,4,0),IF(E4="_2017_2018_keresztfélév",VLOOKUP(F4,#REF!,4,0),IF(E4="_2017_2018_ősz",VLOOKUP(F4,#REF!,4,0),IF(OR(E4="_2016_2017_ősz",E4="_2016_2017_keresztfélév"),VLOOKUP(F4,#REF!,4,0),"HIBA!")))))</f>
        <v>HIBA!</v>
      </c>
      <c r="L4" s="143" t="e">
        <f>H4&amp;" "&amp;#REF!</f>
        <v>#REF!</v>
      </c>
      <c r="M4" s="136">
        <f>'Támogatás szorzat tényezői'!$C$19*('Támogatás szorzat tényezői'!$C$16/'Támogatás szorzat tényezői'!$C$14)</f>
        <v>120000</v>
      </c>
      <c r="N4" s="98">
        <f t="shared" ref="N4:N67" si="1">G4*M4</f>
        <v>0</v>
      </c>
      <c r="O4" s="120">
        <f t="shared" ref="O4:O67" si="2">N4</f>
        <v>0</v>
      </c>
      <c r="P4" s="325"/>
      <c r="Q4" s="249">
        <f t="shared" ref="Q4:Q67" si="3">M4*P4</f>
        <v>0</v>
      </c>
      <c r="R4" s="326" t="str">
        <f>IF(OR(G4="",P4=""),"",IF(P4&lt;G4,"A ''G'' és/vagy a ''P'' oszlop értéke hibás! Kérjük balról jobbra haladva adja meg a helyes értékeket.",""))</f>
        <v/>
      </c>
    </row>
    <row r="5" spans="1:19" ht="30" customHeight="1" x14ac:dyDescent="0.25">
      <c r="A5" s="227"/>
      <c r="B5" s="323" t="s">
        <v>1780</v>
      </c>
      <c r="C5" s="100"/>
      <c r="D5" s="100"/>
      <c r="E5" s="102"/>
      <c r="F5" s="100"/>
      <c r="G5" s="102"/>
      <c r="H5" s="97" t="str">
        <f>IFERROR(IF(E5="_2017_2018_ősz",VLOOKUP(F5,Háttértáblák!$L$2:$M$331,2,0),IF(E5="_2017_2018_keresztfélév",VLOOKUP(F5,Háttértáblák!$N$2:$O$326,2,0),IF(OR(E5="_2018_2019_ősz",E5="_2019_2020_ősz"),VLOOKUP(F5,Háttértáblák!$S$2:$T$334,2,0),VLOOKUP(F5,Háttértáblák!$U$2:$V$330,2,0)))),"")</f>
        <v/>
      </c>
      <c r="I5" s="97" t="str">
        <f t="shared" si="0"/>
        <v>_</v>
      </c>
      <c r="J5" s="97" t="e">
        <f>IF(#REF!="","",E5&amp;"_"&amp;IF(#REF!=0.5,"fél_év",#REF!))</f>
        <v>#REF!</v>
      </c>
      <c r="K5" s="97" t="str">
        <f>IF(E5="_2019_2020_ősz",VLOOKUP(F5,#REF!,4,0),IF(OR(E5="_2018_2019_ősz",E5="_2018_2019_keresztfélév"),VLOOKUP(F5,#REF!,4,0),IF(E5="_2017_2018_keresztfélév",VLOOKUP(F5,#REF!,4,0),IF(E5="_2017_2018_ősz",VLOOKUP(F5,#REF!,4,0),IF(OR(E5="_2016_2017_ősz",E5="_2016_2017_keresztfélév"),VLOOKUP(F5,#REF!,4,0),"HIBA!")))))</f>
        <v>HIBA!</v>
      </c>
      <c r="L5" s="143" t="e">
        <f>H5&amp;" "&amp;#REF!</f>
        <v>#REF!</v>
      </c>
      <c r="M5" s="136">
        <f>'Támogatás szorzat tényezői'!$C$19*('Támogatás szorzat tényezői'!$C$16/'Támogatás szorzat tényezői'!$C$14)</f>
        <v>120000</v>
      </c>
      <c r="N5" s="98">
        <f t="shared" si="1"/>
        <v>0</v>
      </c>
      <c r="O5" s="120">
        <f t="shared" si="2"/>
        <v>0</v>
      </c>
      <c r="P5" s="325"/>
      <c r="Q5" s="249">
        <f t="shared" si="3"/>
        <v>0</v>
      </c>
      <c r="R5" s="326" t="str">
        <f t="shared" ref="R5:R68" si="4">IF(OR(G5="",P5=""),"",IF(P5&lt;G5,"A ''G'' és/vagy a ''P'' oszlop értéke hibás! Kérjük balról jobbra haladva adja meg a helyes értékeket.",""))</f>
        <v/>
      </c>
    </row>
    <row r="6" spans="1:19" ht="30" customHeight="1" x14ac:dyDescent="0.25">
      <c r="A6" s="227"/>
      <c r="B6" s="323" t="s">
        <v>1780</v>
      </c>
      <c r="C6" s="100"/>
      <c r="D6" s="100"/>
      <c r="E6" s="102"/>
      <c r="F6" s="100"/>
      <c r="G6" s="102"/>
      <c r="H6" s="97" t="str">
        <f>IFERROR(IF(E6="_2017_2018_ősz",VLOOKUP(F6,Háttértáblák!$L$2:$M$331,2,0),IF(E6="_2017_2018_keresztfélév",VLOOKUP(F6,Háttértáblák!$N$2:$O$326,2,0),IF(OR(E6="_2018_2019_ősz",E6="_2019_2020_ősz"),VLOOKUP(F6,Háttértáblák!$S$2:$T$334,2,0),VLOOKUP(F6,Háttértáblák!$U$2:$V$330,2,0)))),"")</f>
        <v/>
      </c>
      <c r="I6" s="97" t="str">
        <f t="shared" si="0"/>
        <v>_</v>
      </c>
      <c r="J6" s="97" t="e">
        <f>IF(#REF!="","",E6&amp;"_"&amp;IF(#REF!=0.5,"fél_év",#REF!))</f>
        <v>#REF!</v>
      </c>
      <c r="K6" s="97" t="str">
        <f>IF(E6="_2019_2020_ősz",VLOOKUP(F6,#REF!,4,0),IF(OR(E6="_2018_2019_ősz",E6="_2018_2019_keresztfélév"),VLOOKUP(F6,#REF!,4,0),IF(E6="_2017_2018_keresztfélév",VLOOKUP(F6,#REF!,4,0),IF(E6="_2017_2018_ősz",VLOOKUP(F6,#REF!,4,0),IF(OR(E6="_2016_2017_ősz",E6="_2016_2017_keresztfélév"),VLOOKUP(F6,#REF!,4,0),"HIBA!")))))</f>
        <v>HIBA!</v>
      </c>
      <c r="L6" s="143" t="e">
        <f>H6&amp;" "&amp;#REF!</f>
        <v>#REF!</v>
      </c>
      <c r="M6" s="136">
        <f>'Támogatás szorzat tényezői'!$C$19*('Támogatás szorzat tényezői'!$C$16/'Támogatás szorzat tényezői'!$C$14)</f>
        <v>120000</v>
      </c>
      <c r="N6" s="98">
        <f t="shared" si="1"/>
        <v>0</v>
      </c>
      <c r="O6" s="120">
        <f t="shared" si="2"/>
        <v>0</v>
      </c>
      <c r="P6" s="325"/>
      <c r="Q6" s="249">
        <f t="shared" si="3"/>
        <v>0</v>
      </c>
      <c r="R6" s="326" t="str">
        <f t="shared" si="4"/>
        <v/>
      </c>
    </row>
    <row r="7" spans="1:19" ht="30" customHeight="1" x14ac:dyDescent="0.25">
      <c r="A7" s="227"/>
      <c r="B7" s="323" t="s">
        <v>1780</v>
      </c>
      <c r="C7" s="100"/>
      <c r="D7" s="100"/>
      <c r="E7" s="102"/>
      <c r="F7" s="100"/>
      <c r="G7" s="102"/>
      <c r="H7" s="97" t="str">
        <f>IFERROR(IF(E7="_2017_2018_ősz",VLOOKUP(F7,Háttértáblák!$L$2:$M$331,2,0),IF(E7="_2017_2018_keresztfélév",VLOOKUP(F7,Háttértáblák!$N$2:$O$326,2,0),IF(OR(E7="_2018_2019_ősz",E7="_2019_2020_ősz"),VLOOKUP(F7,Háttértáblák!$S$2:$T$334,2,0),VLOOKUP(F7,Háttértáblák!$U$2:$V$330,2,0)))),"")</f>
        <v/>
      </c>
      <c r="I7" s="97" t="str">
        <f t="shared" si="0"/>
        <v>_</v>
      </c>
      <c r="J7" s="97" t="e">
        <f>IF(#REF!="","",E7&amp;"_"&amp;IF(#REF!=0.5,"fél_év",#REF!))</f>
        <v>#REF!</v>
      </c>
      <c r="K7" s="97" t="str">
        <f>IF(E7="_2019_2020_ősz",VLOOKUP(F7,#REF!,4,0),IF(OR(E7="_2018_2019_ősz",E7="_2018_2019_keresztfélév"),VLOOKUP(F7,#REF!,4,0),IF(E7="_2017_2018_keresztfélév",VLOOKUP(F7,#REF!,4,0),IF(E7="_2017_2018_ősz",VLOOKUP(F7,#REF!,4,0),IF(OR(E7="_2016_2017_ősz",E7="_2016_2017_keresztfélév"),VLOOKUP(F7,#REF!,4,0),"HIBA!")))))</f>
        <v>HIBA!</v>
      </c>
      <c r="L7" s="143" t="e">
        <f>H7&amp;" "&amp;#REF!</f>
        <v>#REF!</v>
      </c>
      <c r="M7" s="136">
        <f>'Támogatás szorzat tényezői'!$C$19*('Támogatás szorzat tényezői'!$C$16/'Támogatás szorzat tényezői'!$C$14)</f>
        <v>120000</v>
      </c>
      <c r="N7" s="98">
        <f t="shared" si="1"/>
        <v>0</v>
      </c>
      <c r="O7" s="120">
        <f t="shared" si="2"/>
        <v>0</v>
      </c>
      <c r="P7" s="325"/>
      <c r="Q7" s="249">
        <f t="shared" si="3"/>
        <v>0</v>
      </c>
      <c r="R7" s="326" t="str">
        <f t="shared" si="4"/>
        <v/>
      </c>
    </row>
    <row r="8" spans="1:19" ht="30" customHeight="1" x14ac:dyDescent="0.25">
      <c r="A8" s="227"/>
      <c r="B8" s="323" t="s">
        <v>1780</v>
      </c>
      <c r="C8" s="100"/>
      <c r="D8" s="100"/>
      <c r="E8" s="102"/>
      <c r="F8" s="100"/>
      <c r="G8" s="102"/>
      <c r="H8" s="97" t="str">
        <f>IFERROR(IF(E8="_2017_2018_ősz",VLOOKUP(F8,Háttértáblák!$L$2:$M$331,2,0),IF(E8="_2017_2018_keresztfélév",VLOOKUP(F8,Háttértáblák!$N$2:$O$326,2,0),IF(OR(E8="_2018_2019_ősz",E8="_2019_2020_ősz"),VLOOKUP(F8,Háttértáblák!$S$2:$T$334,2,0),VLOOKUP(F8,Háttértáblák!$U$2:$V$330,2,0)))),"")</f>
        <v/>
      </c>
      <c r="I8" s="97" t="str">
        <f t="shared" si="0"/>
        <v>_</v>
      </c>
      <c r="J8" s="97" t="e">
        <f>IF(#REF!="","",E8&amp;"_"&amp;IF(#REF!=0.5,"fél_év",#REF!))</f>
        <v>#REF!</v>
      </c>
      <c r="K8" s="97" t="str">
        <f>IF(E8="_2019_2020_ősz",VLOOKUP(F8,#REF!,4,0),IF(OR(E8="_2018_2019_ősz",E8="_2018_2019_keresztfélév"),VLOOKUP(F8,#REF!,4,0),IF(E8="_2017_2018_keresztfélév",VLOOKUP(F8,#REF!,4,0),IF(E8="_2017_2018_ősz",VLOOKUP(F8,#REF!,4,0),IF(OR(E8="_2016_2017_ősz",E8="_2016_2017_keresztfélév"),VLOOKUP(F8,#REF!,4,0),"HIBA!")))))</f>
        <v>HIBA!</v>
      </c>
      <c r="L8" s="143" t="e">
        <f>H8&amp;" "&amp;#REF!</f>
        <v>#REF!</v>
      </c>
      <c r="M8" s="136">
        <f>'Támogatás szorzat tényezői'!$C$19*('Támogatás szorzat tényezői'!$C$16/'Támogatás szorzat tényezői'!$C$14)</f>
        <v>120000</v>
      </c>
      <c r="N8" s="98">
        <f t="shared" si="1"/>
        <v>0</v>
      </c>
      <c r="O8" s="120">
        <f t="shared" si="2"/>
        <v>0</v>
      </c>
      <c r="P8" s="325"/>
      <c r="Q8" s="249">
        <f t="shared" si="3"/>
        <v>0</v>
      </c>
      <c r="R8" s="326" t="str">
        <f t="shared" si="4"/>
        <v/>
      </c>
    </row>
    <row r="9" spans="1:19" ht="30" customHeight="1" x14ac:dyDescent="0.25">
      <c r="A9" s="227"/>
      <c r="B9" s="323" t="s">
        <v>1780</v>
      </c>
      <c r="C9" s="100"/>
      <c r="D9" s="100"/>
      <c r="E9" s="102"/>
      <c r="F9" s="100"/>
      <c r="G9" s="102"/>
      <c r="H9" s="97" t="str">
        <f>IFERROR(IF(E9="_2017_2018_ősz",VLOOKUP(F9,Háttértáblák!$L$2:$M$331,2,0),IF(E9="_2017_2018_keresztfélév",VLOOKUP(F9,Háttértáblák!$N$2:$O$326,2,0),IF(OR(E9="_2018_2019_ősz",E9="_2019_2020_ősz"),VLOOKUP(F9,Háttértáblák!$S$2:$T$334,2,0),VLOOKUP(F9,Háttértáblák!$U$2:$V$330,2,0)))),"")</f>
        <v/>
      </c>
      <c r="I9" s="97" t="str">
        <f t="shared" si="0"/>
        <v>_</v>
      </c>
      <c r="J9" s="97" t="e">
        <f>IF(#REF!="","",E9&amp;"_"&amp;IF(#REF!=0.5,"fél_év",#REF!))</f>
        <v>#REF!</v>
      </c>
      <c r="K9" s="97" t="str">
        <f>IF(E9="_2019_2020_ősz",VLOOKUP(F9,#REF!,4,0),IF(OR(E9="_2018_2019_ősz",E9="_2018_2019_keresztfélév"),VLOOKUP(F9,#REF!,4,0),IF(E9="_2017_2018_keresztfélév",VLOOKUP(F9,#REF!,4,0),IF(E9="_2017_2018_ősz",VLOOKUP(F9,#REF!,4,0),IF(OR(E9="_2016_2017_ősz",E9="_2016_2017_keresztfélév"),VLOOKUP(F9,#REF!,4,0),"HIBA!")))))</f>
        <v>HIBA!</v>
      </c>
      <c r="L9" s="143" t="e">
        <f>H9&amp;" "&amp;#REF!</f>
        <v>#REF!</v>
      </c>
      <c r="M9" s="136">
        <f>'Támogatás szorzat tényezői'!$C$19*('Támogatás szorzat tényezői'!$C$16/'Támogatás szorzat tényezői'!$C$14)</f>
        <v>120000</v>
      </c>
      <c r="N9" s="98">
        <f t="shared" si="1"/>
        <v>0</v>
      </c>
      <c r="O9" s="120">
        <f t="shared" si="2"/>
        <v>0</v>
      </c>
      <c r="P9" s="325"/>
      <c r="Q9" s="249">
        <f t="shared" si="3"/>
        <v>0</v>
      </c>
      <c r="R9" s="326" t="str">
        <f t="shared" si="4"/>
        <v/>
      </c>
    </row>
    <row r="10" spans="1:19" ht="30" customHeight="1" x14ac:dyDescent="0.25">
      <c r="A10" s="227"/>
      <c r="B10" s="323" t="s">
        <v>1780</v>
      </c>
      <c r="C10" s="100"/>
      <c r="D10" s="100"/>
      <c r="E10" s="102"/>
      <c r="F10" s="100"/>
      <c r="G10" s="102"/>
      <c r="H10" s="97" t="str">
        <f>IFERROR(IF(E10="_2017_2018_ősz",VLOOKUP(F10,Háttértáblák!$L$2:$M$331,2,0),IF(E10="_2017_2018_keresztfélév",VLOOKUP(F10,Háttértáblák!$N$2:$O$326,2,0),IF(OR(E10="_2018_2019_ősz",E10="_2019_2020_ősz"),VLOOKUP(F10,Háttértáblák!$S$2:$T$334,2,0),VLOOKUP(F10,Háttértáblák!$U$2:$V$330,2,0)))),"")</f>
        <v/>
      </c>
      <c r="I10" s="97" t="str">
        <f t="shared" si="0"/>
        <v>_</v>
      </c>
      <c r="J10" s="97" t="e">
        <f>IF(#REF!="","",E10&amp;"_"&amp;IF(#REF!=0.5,"fél_év",#REF!))</f>
        <v>#REF!</v>
      </c>
      <c r="K10" s="97" t="str">
        <f>IF(E10="_2019_2020_ősz",VLOOKUP(F10,#REF!,4,0),IF(OR(E10="_2018_2019_ősz",E10="_2018_2019_keresztfélév"),VLOOKUP(F10,#REF!,4,0),IF(E10="_2017_2018_keresztfélév",VLOOKUP(F10,#REF!,4,0),IF(E10="_2017_2018_ősz",VLOOKUP(F10,#REF!,4,0),IF(OR(E10="_2016_2017_ősz",E10="_2016_2017_keresztfélév"),VLOOKUP(F10,#REF!,4,0),"HIBA!")))))</f>
        <v>HIBA!</v>
      </c>
      <c r="L10" s="143" t="e">
        <f>H10&amp;" "&amp;#REF!</f>
        <v>#REF!</v>
      </c>
      <c r="M10" s="136">
        <f>'Támogatás szorzat tényezői'!$C$19*('Támogatás szorzat tényezői'!$C$16/'Támogatás szorzat tényezői'!$C$14)</f>
        <v>120000</v>
      </c>
      <c r="N10" s="98">
        <f t="shared" si="1"/>
        <v>0</v>
      </c>
      <c r="O10" s="120">
        <f t="shared" si="2"/>
        <v>0</v>
      </c>
      <c r="P10" s="325"/>
      <c r="Q10" s="249">
        <f t="shared" si="3"/>
        <v>0</v>
      </c>
      <c r="R10" s="326" t="str">
        <f t="shared" si="4"/>
        <v/>
      </c>
    </row>
    <row r="11" spans="1:19" ht="30" customHeight="1" x14ac:dyDescent="0.25">
      <c r="A11" s="227"/>
      <c r="B11" s="323" t="s">
        <v>1780</v>
      </c>
      <c r="C11" s="100"/>
      <c r="D11" s="100"/>
      <c r="E11" s="102"/>
      <c r="F11" s="100"/>
      <c r="G11" s="102"/>
      <c r="H11" s="97" t="str">
        <f>IFERROR(IF(E11="_2017_2018_ősz",VLOOKUP(F11,Háttértáblák!$L$2:$M$331,2,0),IF(E11="_2017_2018_keresztfélév",VLOOKUP(F11,Háttértáblák!$N$2:$O$326,2,0),IF(OR(E11="_2018_2019_ősz",E11="_2019_2020_ősz"),VLOOKUP(F11,Háttértáblák!$S$2:$T$334,2,0),VLOOKUP(F11,Háttértáblák!$U$2:$V$330,2,0)))),"")</f>
        <v/>
      </c>
      <c r="I11" s="97" t="str">
        <f t="shared" si="0"/>
        <v>_</v>
      </c>
      <c r="J11" s="97" t="e">
        <f>IF(#REF!="","",E11&amp;"_"&amp;IF(#REF!=0.5,"fél_év",#REF!))</f>
        <v>#REF!</v>
      </c>
      <c r="K11" s="97" t="str">
        <f>IF(E11="_2019_2020_ősz",VLOOKUP(F11,#REF!,4,0),IF(OR(E11="_2018_2019_ősz",E11="_2018_2019_keresztfélév"),VLOOKUP(F11,#REF!,4,0),IF(E11="_2017_2018_keresztfélév",VLOOKUP(F11,#REF!,4,0),IF(E11="_2017_2018_ősz",VLOOKUP(F11,#REF!,4,0),IF(OR(E11="_2016_2017_ősz",E11="_2016_2017_keresztfélév"),VLOOKUP(F11,#REF!,4,0),"HIBA!")))))</f>
        <v>HIBA!</v>
      </c>
      <c r="L11" s="143" t="e">
        <f>H11&amp;" "&amp;#REF!</f>
        <v>#REF!</v>
      </c>
      <c r="M11" s="136">
        <f>'Támogatás szorzat tényezői'!$C$19*('Támogatás szorzat tényezői'!$C$16/'Támogatás szorzat tényezői'!$C$14)</f>
        <v>120000</v>
      </c>
      <c r="N11" s="98">
        <f t="shared" si="1"/>
        <v>0</v>
      </c>
      <c r="O11" s="120">
        <f t="shared" si="2"/>
        <v>0</v>
      </c>
      <c r="P11" s="325"/>
      <c r="Q11" s="249">
        <f t="shared" si="3"/>
        <v>0</v>
      </c>
      <c r="R11" s="326" t="str">
        <f t="shared" si="4"/>
        <v/>
      </c>
    </row>
    <row r="12" spans="1:19" ht="30" customHeight="1" x14ac:dyDescent="0.25">
      <c r="A12" s="227"/>
      <c r="B12" s="323" t="s">
        <v>1780</v>
      </c>
      <c r="C12" s="100"/>
      <c r="D12" s="100"/>
      <c r="E12" s="102"/>
      <c r="F12" s="100"/>
      <c r="G12" s="102"/>
      <c r="H12" s="97" t="str">
        <f>IFERROR(IF(E12="_2017_2018_ősz",VLOOKUP(F12,Háttértáblák!$L$2:$M$331,2,0),IF(E12="_2017_2018_keresztfélév",VLOOKUP(F12,Háttértáblák!$N$2:$O$326,2,0),IF(OR(E12="_2018_2019_ősz",E12="_2019_2020_ősz"),VLOOKUP(F12,Háttértáblák!$S$2:$T$334,2,0),VLOOKUP(F12,Háttértáblák!$U$2:$V$330,2,0)))),"")</f>
        <v/>
      </c>
      <c r="I12" s="97" t="str">
        <f t="shared" si="0"/>
        <v>_</v>
      </c>
      <c r="J12" s="97" t="e">
        <f>IF(#REF!="","",E12&amp;"_"&amp;IF(#REF!=0.5,"fél_év",#REF!))</f>
        <v>#REF!</v>
      </c>
      <c r="K12" s="97" t="str">
        <f>IF(E12="_2019_2020_ősz",VLOOKUP(F12,#REF!,4,0),IF(OR(E12="_2018_2019_ősz",E12="_2018_2019_keresztfélév"),VLOOKUP(F12,#REF!,4,0),IF(E12="_2017_2018_keresztfélév",VLOOKUP(F12,#REF!,4,0),IF(E12="_2017_2018_ősz",VLOOKUP(F12,#REF!,4,0),IF(OR(E12="_2016_2017_ősz",E12="_2016_2017_keresztfélév"),VLOOKUP(F12,#REF!,4,0),"HIBA!")))))</f>
        <v>HIBA!</v>
      </c>
      <c r="L12" s="143" t="e">
        <f>H12&amp;" "&amp;#REF!</f>
        <v>#REF!</v>
      </c>
      <c r="M12" s="136">
        <f>'Támogatás szorzat tényezői'!$C$19*('Támogatás szorzat tényezői'!$C$16/'Támogatás szorzat tényezői'!$C$14)</f>
        <v>120000</v>
      </c>
      <c r="N12" s="98">
        <f t="shared" si="1"/>
        <v>0</v>
      </c>
      <c r="O12" s="120">
        <f t="shared" si="2"/>
        <v>0</v>
      </c>
      <c r="P12" s="325"/>
      <c r="Q12" s="249">
        <f t="shared" si="3"/>
        <v>0</v>
      </c>
      <c r="R12" s="326" t="str">
        <f t="shared" si="4"/>
        <v/>
      </c>
    </row>
    <row r="13" spans="1:19" ht="30" customHeight="1" x14ac:dyDescent="0.25">
      <c r="A13" s="227"/>
      <c r="B13" s="323" t="s">
        <v>1780</v>
      </c>
      <c r="C13" s="100"/>
      <c r="D13" s="100"/>
      <c r="E13" s="102"/>
      <c r="F13" s="100"/>
      <c r="G13" s="102"/>
      <c r="H13" s="97" t="str">
        <f>IFERROR(IF(E13="_2017_2018_ősz",VLOOKUP(F13,Háttértáblák!$L$2:$M$331,2,0),IF(E13="_2017_2018_keresztfélév",VLOOKUP(F13,Háttértáblák!$N$2:$O$326,2,0),IF(OR(E13="_2018_2019_ősz",E13="_2019_2020_ősz"),VLOOKUP(F13,Háttértáblák!$S$2:$T$334,2,0),VLOOKUP(F13,Háttértáblák!$U$2:$V$330,2,0)))),"")</f>
        <v/>
      </c>
      <c r="I13" s="97" t="str">
        <f t="shared" si="0"/>
        <v>_</v>
      </c>
      <c r="J13" s="97" t="e">
        <f>IF(#REF!="","",E13&amp;"_"&amp;IF(#REF!=0.5,"fél_év",#REF!))</f>
        <v>#REF!</v>
      </c>
      <c r="K13" s="97" t="str">
        <f>IF(E13="_2019_2020_ősz",VLOOKUP(F13,#REF!,4,0),IF(OR(E13="_2018_2019_ősz",E13="_2018_2019_keresztfélév"),VLOOKUP(F13,#REF!,4,0),IF(E13="_2017_2018_keresztfélév",VLOOKUP(F13,#REF!,4,0),IF(E13="_2017_2018_ősz",VLOOKUP(F13,#REF!,4,0),IF(OR(E13="_2016_2017_ősz",E13="_2016_2017_keresztfélév"),VLOOKUP(F13,#REF!,4,0),"HIBA!")))))</f>
        <v>HIBA!</v>
      </c>
      <c r="L13" s="143" t="e">
        <f>H13&amp;" "&amp;#REF!</f>
        <v>#REF!</v>
      </c>
      <c r="M13" s="136">
        <f>'Támogatás szorzat tényezői'!$C$19*('Támogatás szorzat tényezői'!$C$16/'Támogatás szorzat tényezői'!$C$14)</f>
        <v>120000</v>
      </c>
      <c r="N13" s="98">
        <f t="shared" si="1"/>
        <v>0</v>
      </c>
      <c r="O13" s="120">
        <f t="shared" si="2"/>
        <v>0</v>
      </c>
      <c r="P13" s="325"/>
      <c r="Q13" s="249">
        <f t="shared" si="3"/>
        <v>0</v>
      </c>
      <c r="R13" s="326" t="str">
        <f t="shared" si="4"/>
        <v/>
      </c>
    </row>
    <row r="14" spans="1:19" ht="30" customHeight="1" x14ac:dyDescent="0.25">
      <c r="A14" s="227"/>
      <c r="B14" s="323" t="s">
        <v>1780</v>
      </c>
      <c r="C14" s="100"/>
      <c r="D14" s="100"/>
      <c r="E14" s="102"/>
      <c r="F14" s="100"/>
      <c r="G14" s="102"/>
      <c r="H14" s="97" t="str">
        <f>IFERROR(IF(E14="_2017_2018_ősz",VLOOKUP(F14,Háttértáblák!$L$2:$M$331,2,0),IF(E14="_2017_2018_keresztfélév",VLOOKUP(F14,Háttértáblák!$N$2:$O$326,2,0),IF(OR(E14="_2018_2019_ősz",E14="_2019_2020_ősz"),VLOOKUP(F14,Háttértáblák!$S$2:$T$334,2,0),VLOOKUP(F14,Háttértáblák!$U$2:$V$330,2,0)))),"")</f>
        <v/>
      </c>
      <c r="I14" s="97" t="str">
        <f t="shared" si="0"/>
        <v>_</v>
      </c>
      <c r="J14" s="97" t="e">
        <f>IF(#REF!="","",E14&amp;"_"&amp;IF(#REF!=0.5,"fél_év",#REF!))</f>
        <v>#REF!</v>
      </c>
      <c r="K14" s="97" t="str">
        <f>IF(E14="_2019_2020_ősz",VLOOKUP(F14,#REF!,4,0),IF(OR(E14="_2018_2019_ősz",E14="_2018_2019_keresztfélév"),VLOOKUP(F14,#REF!,4,0),IF(E14="_2017_2018_keresztfélév",VLOOKUP(F14,#REF!,4,0),IF(E14="_2017_2018_ősz",VLOOKUP(F14,#REF!,4,0),IF(OR(E14="_2016_2017_ősz",E14="_2016_2017_keresztfélév"),VLOOKUP(F14,#REF!,4,0),"HIBA!")))))</f>
        <v>HIBA!</v>
      </c>
      <c r="L14" s="143" t="e">
        <f>H14&amp;" "&amp;#REF!</f>
        <v>#REF!</v>
      </c>
      <c r="M14" s="136">
        <f>'Támogatás szorzat tényezői'!$C$19*('Támogatás szorzat tényezői'!$C$16/'Támogatás szorzat tényezői'!$C$14)</f>
        <v>120000</v>
      </c>
      <c r="N14" s="98">
        <f t="shared" si="1"/>
        <v>0</v>
      </c>
      <c r="O14" s="120">
        <f t="shared" si="2"/>
        <v>0</v>
      </c>
      <c r="P14" s="325"/>
      <c r="Q14" s="249">
        <f t="shared" si="3"/>
        <v>0</v>
      </c>
      <c r="R14" s="326" t="str">
        <f t="shared" si="4"/>
        <v/>
      </c>
    </row>
    <row r="15" spans="1:19" ht="30" customHeight="1" x14ac:dyDescent="0.25">
      <c r="A15" s="227"/>
      <c r="B15" s="323" t="s">
        <v>1780</v>
      </c>
      <c r="C15" s="100"/>
      <c r="D15" s="100"/>
      <c r="E15" s="102"/>
      <c r="F15" s="100"/>
      <c r="G15" s="102"/>
      <c r="H15" s="97" t="str">
        <f>IFERROR(IF(E15="_2017_2018_ősz",VLOOKUP(F15,Háttértáblák!$L$2:$M$331,2,0),IF(E15="_2017_2018_keresztfélév",VLOOKUP(F15,Háttértáblák!$N$2:$O$326,2,0),IF(OR(E15="_2018_2019_ősz",E15="_2019_2020_ősz"),VLOOKUP(F15,Háttértáblák!$S$2:$T$334,2,0),VLOOKUP(F15,Háttértáblák!$U$2:$V$330,2,0)))),"")</f>
        <v/>
      </c>
      <c r="I15" s="97" t="str">
        <f t="shared" si="0"/>
        <v>_</v>
      </c>
      <c r="J15" s="97" t="e">
        <f>IF(#REF!="","",E15&amp;"_"&amp;IF(#REF!=0.5,"fél_év",#REF!))</f>
        <v>#REF!</v>
      </c>
      <c r="K15" s="97" t="str">
        <f>IF(E15="_2019_2020_ősz",VLOOKUP(F15,#REF!,4,0),IF(OR(E15="_2018_2019_ősz",E15="_2018_2019_keresztfélév"),VLOOKUP(F15,#REF!,4,0),IF(E15="_2017_2018_keresztfélév",VLOOKUP(F15,#REF!,4,0),IF(E15="_2017_2018_ősz",VLOOKUP(F15,#REF!,4,0),IF(OR(E15="_2016_2017_ősz",E15="_2016_2017_keresztfélév"),VLOOKUP(F15,#REF!,4,0),"HIBA!")))))</f>
        <v>HIBA!</v>
      </c>
      <c r="L15" s="143" t="e">
        <f>H15&amp;" "&amp;#REF!</f>
        <v>#REF!</v>
      </c>
      <c r="M15" s="136">
        <f>'Támogatás szorzat tényezői'!$C$19*('Támogatás szorzat tényezői'!$C$16/'Támogatás szorzat tényezői'!$C$14)</f>
        <v>120000</v>
      </c>
      <c r="N15" s="98">
        <f t="shared" si="1"/>
        <v>0</v>
      </c>
      <c r="O15" s="120">
        <f t="shared" si="2"/>
        <v>0</v>
      </c>
      <c r="P15" s="325"/>
      <c r="Q15" s="249">
        <f t="shared" si="3"/>
        <v>0</v>
      </c>
      <c r="R15" s="326" t="str">
        <f t="shared" si="4"/>
        <v/>
      </c>
    </row>
    <row r="16" spans="1:19" ht="30" customHeight="1" x14ac:dyDescent="0.25">
      <c r="A16" s="227"/>
      <c r="B16" s="323" t="s">
        <v>1780</v>
      </c>
      <c r="C16" s="100"/>
      <c r="D16" s="100"/>
      <c r="E16" s="102"/>
      <c r="F16" s="100"/>
      <c r="G16" s="102"/>
      <c r="H16" s="97" t="str">
        <f>IFERROR(IF(E16="_2017_2018_ősz",VLOOKUP(F16,Háttértáblák!$L$2:$M$331,2,0),IF(E16="_2017_2018_keresztfélév",VLOOKUP(F16,Háttértáblák!$N$2:$O$326,2,0),IF(OR(E16="_2018_2019_ősz",E16="_2019_2020_ősz"),VLOOKUP(F16,Háttértáblák!$S$2:$T$334,2,0),VLOOKUP(F16,Háttértáblák!$U$2:$V$330,2,0)))),"")</f>
        <v/>
      </c>
      <c r="I16" s="97" t="str">
        <f t="shared" si="0"/>
        <v>_</v>
      </c>
      <c r="J16" s="97" t="e">
        <f>IF(#REF!="","",E16&amp;"_"&amp;IF(#REF!=0.5,"fél_év",#REF!))</f>
        <v>#REF!</v>
      </c>
      <c r="K16" s="97" t="str">
        <f>IF(E16="_2019_2020_ősz",VLOOKUP(F16,#REF!,4,0),IF(OR(E16="_2018_2019_ősz",E16="_2018_2019_keresztfélév"),VLOOKUP(F16,#REF!,4,0),IF(E16="_2017_2018_keresztfélév",VLOOKUP(F16,#REF!,4,0),IF(E16="_2017_2018_ősz",VLOOKUP(F16,#REF!,4,0),IF(OR(E16="_2016_2017_ősz",E16="_2016_2017_keresztfélév"),VLOOKUP(F16,#REF!,4,0),"HIBA!")))))</f>
        <v>HIBA!</v>
      </c>
      <c r="L16" s="143" t="e">
        <f>H16&amp;" "&amp;#REF!</f>
        <v>#REF!</v>
      </c>
      <c r="M16" s="136">
        <f>'Támogatás szorzat tényezői'!$C$19*('Támogatás szorzat tényezői'!$C$16/'Támogatás szorzat tényezői'!$C$14)</f>
        <v>120000</v>
      </c>
      <c r="N16" s="98">
        <f t="shared" si="1"/>
        <v>0</v>
      </c>
      <c r="O16" s="120">
        <f t="shared" si="2"/>
        <v>0</v>
      </c>
      <c r="P16" s="325"/>
      <c r="Q16" s="249">
        <f t="shared" si="3"/>
        <v>0</v>
      </c>
      <c r="R16" s="326" t="str">
        <f t="shared" si="4"/>
        <v/>
      </c>
    </row>
    <row r="17" spans="1:18" ht="30" customHeight="1" x14ac:dyDescent="0.25">
      <c r="A17" s="227"/>
      <c r="B17" s="323" t="s">
        <v>1780</v>
      </c>
      <c r="C17" s="100"/>
      <c r="D17" s="100"/>
      <c r="E17" s="102"/>
      <c r="F17" s="100"/>
      <c r="G17" s="102"/>
      <c r="H17" s="97" t="str">
        <f>IFERROR(IF(E17="_2017_2018_ősz",VLOOKUP(F17,Háttértáblák!$L$2:$M$331,2,0),IF(E17="_2017_2018_keresztfélév",VLOOKUP(F17,Háttértáblák!$N$2:$O$326,2,0),IF(OR(E17="_2018_2019_ősz",E17="_2019_2020_ősz"),VLOOKUP(F17,Háttértáblák!$S$2:$T$334,2,0),VLOOKUP(F17,Háttértáblák!$U$2:$V$330,2,0)))),"")</f>
        <v/>
      </c>
      <c r="I17" s="97" t="str">
        <f t="shared" si="0"/>
        <v>_</v>
      </c>
      <c r="J17" s="97" t="e">
        <f>IF(#REF!="","",E17&amp;"_"&amp;IF(#REF!=0.5,"fél_év",#REF!))</f>
        <v>#REF!</v>
      </c>
      <c r="K17" s="97" t="str">
        <f>IF(E17="_2019_2020_ősz",VLOOKUP(F17,#REF!,4,0),IF(OR(E17="_2018_2019_ősz",E17="_2018_2019_keresztfélév"),VLOOKUP(F17,#REF!,4,0),IF(E17="_2017_2018_keresztfélév",VLOOKUP(F17,#REF!,4,0),IF(E17="_2017_2018_ősz",VLOOKUP(F17,#REF!,4,0),IF(OR(E17="_2016_2017_ősz",E17="_2016_2017_keresztfélév"),VLOOKUP(F17,#REF!,4,0),"HIBA!")))))</f>
        <v>HIBA!</v>
      </c>
      <c r="L17" s="143" t="e">
        <f>H17&amp;" "&amp;#REF!</f>
        <v>#REF!</v>
      </c>
      <c r="M17" s="136">
        <f>'Támogatás szorzat tényezői'!$C$19*('Támogatás szorzat tényezői'!$C$16/'Támogatás szorzat tényezői'!$C$14)</f>
        <v>120000</v>
      </c>
      <c r="N17" s="98">
        <f t="shared" si="1"/>
        <v>0</v>
      </c>
      <c r="O17" s="120">
        <f t="shared" si="2"/>
        <v>0</v>
      </c>
      <c r="P17" s="325"/>
      <c r="Q17" s="249">
        <f t="shared" si="3"/>
        <v>0</v>
      </c>
      <c r="R17" s="326" t="str">
        <f t="shared" si="4"/>
        <v/>
      </c>
    </row>
    <row r="18" spans="1:18" ht="30" customHeight="1" x14ac:dyDescent="0.25">
      <c r="A18" s="227"/>
      <c r="B18" s="323" t="s">
        <v>1780</v>
      </c>
      <c r="C18" s="100"/>
      <c r="D18" s="100"/>
      <c r="E18" s="102"/>
      <c r="F18" s="100"/>
      <c r="G18" s="102"/>
      <c r="H18" s="97" t="str">
        <f>IFERROR(IF(E18="_2017_2018_ősz",VLOOKUP(F18,Háttértáblák!$L$2:$M$331,2,0),IF(E18="_2017_2018_keresztfélév",VLOOKUP(F18,Háttértáblák!$N$2:$O$326,2,0),IF(OR(E18="_2018_2019_ősz",E18="_2019_2020_ősz"),VLOOKUP(F18,Háttértáblák!$S$2:$T$334,2,0),VLOOKUP(F18,Háttértáblák!$U$2:$V$330,2,0)))),"")</f>
        <v/>
      </c>
      <c r="I18" s="97" t="str">
        <f t="shared" si="0"/>
        <v>_</v>
      </c>
      <c r="J18" s="97" t="e">
        <f>IF(#REF!="","",E18&amp;"_"&amp;IF(#REF!=0.5,"fél_év",#REF!))</f>
        <v>#REF!</v>
      </c>
      <c r="K18" s="97" t="str">
        <f>IF(E18="_2019_2020_ősz",VLOOKUP(F18,#REF!,4,0),IF(OR(E18="_2018_2019_ősz",E18="_2018_2019_keresztfélév"),VLOOKUP(F18,#REF!,4,0),IF(E18="_2017_2018_keresztfélév",VLOOKUP(F18,#REF!,4,0),IF(E18="_2017_2018_ősz",VLOOKUP(F18,#REF!,4,0),IF(OR(E18="_2016_2017_ősz",E18="_2016_2017_keresztfélév"),VLOOKUP(F18,#REF!,4,0),"HIBA!")))))</f>
        <v>HIBA!</v>
      </c>
      <c r="L18" s="143" t="e">
        <f>H18&amp;" "&amp;#REF!</f>
        <v>#REF!</v>
      </c>
      <c r="M18" s="136">
        <f>'Támogatás szorzat tényezői'!$C$19*('Támogatás szorzat tényezői'!$C$16/'Támogatás szorzat tényezői'!$C$14)</f>
        <v>120000</v>
      </c>
      <c r="N18" s="98">
        <f t="shared" si="1"/>
        <v>0</v>
      </c>
      <c r="O18" s="120">
        <f t="shared" si="2"/>
        <v>0</v>
      </c>
      <c r="P18" s="325"/>
      <c r="Q18" s="249">
        <f t="shared" si="3"/>
        <v>0</v>
      </c>
      <c r="R18" s="326" t="str">
        <f t="shared" si="4"/>
        <v/>
      </c>
    </row>
    <row r="19" spans="1:18" ht="30" customHeight="1" x14ac:dyDescent="0.25">
      <c r="A19" s="227"/>
      <c r="B19" s="323" t="s">
        <v>1780</v>
      </c>
      <c r="C19" s="100"/>
      <c r="D19" s="100"/>
      <c r="E19" s="102"/>
      <c r="F19" s="100"/>
      <c r="G19" s="102"/>
      <c r="H19" s="97" t="str">
        <f>IFERROR(IF(E19="_2017_2018_ősz",VLOOKUP(F19,Háttértáblák!$L$2:$M$331,2,0),IF(E19="_2017_2018_keresztfélév",VLOOKUP(F19,Háttértáblák!$N$2:$O$326,2,0),IF(OR(E19="_2018_2019_ősz",E19="_2019_2020_ősz"),VLOOKUP(F19,Háttértáblák!$S$2:$T$334,2,0),VLOOKUP(F19,Háttértáblák!$U$2:$V$330,2,0)))),"")</f>
        <v/>
      </c>
      <c r="I19" s="97" t="str">
        <f t="shared" si="0"/>
        <v>_</v>
      </c>
      <c r="J19" s="97" t="e">
        <f>IF(#REF!="","",E19&amp;"_"&amp;IF(#REF!=0.5,"fél_év",#REF!))</f>
        <v>#REF!</v>
      </c>
      <c r="K19" s="97" t="str">
        <f>IF(E19="_2019_2020_ősz",VLOOKUP(F19,#REF!,4,0),IF(OR(E19="_2018_2019_ősz",E19="_2018_2019_keresztfélév"),VLOOKUP(F19,#REF!,4,0),IF(E19="_2017_2018_keresztfélév",VLOOKUP(F19,#REF!,4,0),IF(E19="_2017_2018_ősz",VLOOKUP(F19,#REF!,4,0),IF(OR(E19="_2016_2017_ősz",E19="_2016_2017_keresztfélév"),VLOOKUP(F19,#REF!,4,0),"HIBA!")))))</f>
        <v>HIBA!</v>
      </c>
      <c r="L19" s="143" t="e">
        <f>H19&amp;" "&amp;#REF!</f>
        <v>#REF!</v>
      </c>
      <c r="M19" s="136">
        <f>'Támogatás szorzat tényezői'!$C$19*('Támogatás szorzat tényezői'!$C$16/'Támogatás szorzat tényezői'!$C$14)</f>
        <v>120000</v>
      </c>
      <c r="N19" s="98">
        <f t="shared" si="1"/>
        <v>0</v>
      </c>
      <c r="O19" s="120">
        <f t="shared" si="2"/>
        <v>0</v>
      </c>
      <c r="P19" s="325"/>
      <c r="Q19" s="249">
        <f t="shared" si="3"/>
        <v>0</v>
      </c>
      <c r="R19" s="326" t="str">
        <f t="shared" si="4"/>
        <v/>
      </c>
    </row>
    <row r="20" spans="1:18" ht="30" customHeight="1" x14ac:dyDescent="0.25">
      <c r="A20" s="227"/>
      <c r="B20" s="323" t="s">
        <v>1780</v>
      </c>
      <c r="C20" s="100"/>
      <c r="D20" s="100"/>
      <c r="E20" s="102"/>
      <c r="F20" s="100"/>
      <c r="G20" s="102"/>
      <c r="H20" s="97" t="str">
        <f>IFERROR(IF(E20="_2017_2018_ősz",VLOOKUP(F20,Háttértáblák!$L$2:$M$331,2,0),IF(E20="_2017_2018_keresztfélév",VLOOKUP(F20,Háttértáblák!$N$2:$O$326,2,0),IF(OR(E20="_2018_2019_ősz",E20="_2019_2020_ősz"),VLOOKUP(F20,Háttértáblák!$S$2:$T$334,2,0),VLOOKUP(F20,Háttértáblák!$U$2:$V$330,2,0)))),"")</f>
        <v/>
      </c>
      <c r="I20" s="97" t="str">
        <f t="shared" si="0"/>
        <v>_</v>
      </c>
      <c r="J20" s="97" t="e">
        <f>IF(#REF!="","",E20&amp;"_"&amp;IF(#REF!=0.5,"fél_év",#REF!))</f>
        <v>#REF!</v>
      </c>
      <c r="K20" s="97" t="str">
        <f>IF(E20="_2019_2020_ősz",VLOOKUP(F20,#REF!,4,0),IF(OR(E20="_2018_2019_ősz",E20="_2018_2019_keresztfélév"),VLOOKUP(F20,#REF!,4,0),IF(E20="_2017_2018_keresztfélév",VLOOKUP(F20,#REF!,4,0),IF(E20="_2017_2018_ősz",VLOOKUP(F20,#REF!,4,0),IF(OR(E20="_2016_2017_ősz",E20="_2016_2017_keresztfélév"),VLOOKUP(F20,#REF!,4,0),"HIBA!")))))</f>
        <v>HIBA!</v>
      </c>
      <c r="L20" s="143" t="e">
        <f>H20&amp;" "&amp;#REF!</f>
        <v>#REF!</v>
      </c>
      <c r="M20" s="136">
        <f>'Támogatás szorzat tényezői'!$C$19*('Támogatás szorzat tényezői'!$C$16/'Támogatás szorzat tényezői'!$C$14)</f>
        <v>120000</v>
      </c>
      <c r="N20" s="98">
        <f t="shared" si="1"/>
        <v>0</v>
      </c>
      <c r="O20" s="120">
        <f t="shared" si="2"/>
        <v>0</v>
      </c>
      <c r="P20" s="325"/>
      <c r="Q20" s="249">
        <f t="shared" si="3"/>
        <v>0</v>
      </c>
      <c r="R20" s="326" t="str">
        <f t="shared" si="4"/>
        <v/>
      </c>
    </row>
    <row r="21" spans="1:18" ht="30" customHeight="1" x14ac:dyDescent="0.25">
      <c r="A21" s="227"/>
      <c r="B21" s="323" t="s">
        <v>1780</v>
      </c>
      <c r="C21" s="100"/>
      <c r="D21" s="100"/>
      <c r="E21" s="102"/>
      <c r="F21" s="100"/>
      <c r="G21" s="102"/>
      <c r="H21" s="97" t="str">
        <f>IFERROR(IF(E21="_2017_2018_ősz",VLOOKUP(F21,Háttértáblák!$L$2:$M$331,2,0),IF(E21="_2017_2018_keresztfélév",VLOOKUP(F21,Háttértáblák!$N$2:$O$326,2,0),IF(OR(E21="_2018_2019_ősz",E21="_2019_2020_ősz"),VLOOKUP(F21,Háttértáblák!$S$2:$T$334,2,0),VLOOKUP(F21,Háttértáblák!$U$2:$V$330,2,0)))),"")</f>
        <v/>
      </c>
      <c r="I21" s="97" t="str">
        <f t="shared" si="0"/>
        <v>_</v>
      </c>
      <c r="J21" s="97" t="e">
        <f>IF(#REF!="","",E21&amp;"_"&amp;IF(#REF!=0.5,"fél_év",#REF!))</f>
        <v>#REF!</v>
      </c>
      <c r="K21" s="97" t="str">
        <f>IF(E21="_2019_2020_ősz",VLOOKUP(F21,#REF!,4,0),IF(OR(E21="_2018_2019_ősz",E21="_2018_2019_keresztfélév"),VLOOKUP(F21,#REF!,4,0),IF(E21="_2017_2018_keresztfélév",VLOOKUP(F21,#REF!,4,0),IF(E21="_2017_2018_ősz",VLOOKUP(F21,#REF!,4,0),IF(OR(E21="_2016_2017_ősz",E21="_2016_2017_keresztfélév"),VLOOKUP(F21,#REF!,4,0),"HIBA!")))))</f>
        <v>HIBA!</v>
      </c>
      <c r="L21" s="143" t="e">
        <f>H21&amp;" "&amp;#REF!</f>
        <v>#REF!</v>
      </c>
      <c r="M21" s="136">
        <f>'Támogatás szorzat tényezői'!$C$19*('Támogatás szorzat tényezői'!$C$16/'Támogatás szorzat tényezői'!$C$14)</f>
        <v>120000</v>
      </c>
      <c r="N21" s="98">
        <f t="shared" si="1"/>
        <v>0</v>
      </c>
      <c r="O21" s="120">
        <f t="shared" si="2"/>
        <v>0</v>
      </c>
      <c r="P21" s="325"/>
      <c r="Q21" s="249">
        <f t="shared" si="3"/>
        <v>0</v>
      </c>
      <c r="R21" s="326" t="str">
        <f t="shared" si="4"/>
        <v/>
      </c>
    </row>
    <row r="22" spans="1:18" ht="30" customHeight="1" x14ac:dyDescent="0.25">
      <c r="A22" s="227"/>
      <c r="B22" s="323" t="s">
        <v>1780</v>
      </c>
      <c r="C22" s="100"/>
      <c r="D22" s="100"/>
      <c r="E22" s="102"/>
      <c r="F22" s="100"/>
      <c r="G22" s="102"/>
      <c r="H22" s="97" t="str">
        <f>IFERROR(IF(E22="_2017_2018_ősz",VLOOKUP(F22,Háttértáblák!$L$2:$M$331,2,0),IF(E22="_2017_2018_keresztfélév",VLOOKUP(F22,Háttértáblák!$N$2:$O$326,2,0),IF(OR(E22="_2018_2019_ősz",E22="_2019_2020_ősz"),VLOOKUP(F22,Háttértáblák!$S$2:$T$334,2,0),VLOOKUP(F22,Háttértáblák!$U$2:$V$330,2,0)))),"")</f>
        <v/>
      </c>
      <c r="I22" s="97" t="str">
        <f t="shared" si="0"/>
        <v>_</v>
      </c>
      <c r="J22" s="97" t="e">
        <f>IF(#REF!="","",E22&amp;"_"&amp;IF(#REF!=0.5,"fél_év",#REF!))</f>
        <v>#REF!</v>
      </c>
      <c r="K22" s="97" t="str">
        <f>IF(E22="_2019_2020_ősz",VLOOKUP(F22,#REF!,4,0),IF(OR(E22="_2018_2019_ősz",E22="_2018_2019_keresztfélév"),VLOOKUP(F22,#REF!,4,0),IF(E22="_2017_2018_keresztfélév",VLOOKUP(F22,#REF!,4,0),IF(E22="_2017_2018_ősz",VLOOKUP(F22,#REF!,4,0),IF(OR(E22="_2016_2017_ősz",E22="_2016_2017_keresztfélév"),VLOOKUP(F22,#REF!,4,0),"HIBA!")))))</f>
        <v>HIBA!</v>
      </c>
      <c r="L22" s="143" t="e">
        <f>H22&amp;" "&amp;#REF!</f>
        <v>#REF!</v>
      </c>
      <c r="M22" s="136">
        <f>'Támogatás szorzat tényezői'!$C$19*('Támogatás szorzat tényezői'!$C$16/'Támogatás szorzat tényezői'!$C$14)</f>
        <v>120000</v>
      </c>
      <c r="N22" s="98">
        <f t="shared" si="1"/>
        <v>0</v>
      </c>
      <c r="O22" s="120">
        <f t="shared" si="2"/>
        <v>0</v>
      </c>
      <c r="P22" s="325"/>
      <c r="Q22" s="249">
        <f t="shared" si="3"/>
        <v>0</v>
      </c>
      <c r="R22" s="326" t="str">
        <f t="shared" si="4"/>
        <v/>
      </c>
    </row>
    <row r="23" spans="1:18" ht="30" customHeight="1" x14ac:dyDescent="0.25">
      <c r="A23" s="227"/>
      <c r="B23" s="323" t="s">
        <v>1780</v>
      </c>
      <c r="C23" s="100"/>
      <c r="D23" s="100"/>
      <c r="E23" s="102"/>
      <c r="F23" s="100"/>
      <c r="G23" s="102"/>
      <c r="H23" s="97" t="str">
        <f>IFERROR(IF(E23="_2017_2018_ősz",VLOOKUP(F23,Háttértáblák!$L$2:$M$331,2,0),IF(E23="_2017_2018_keresztfélév",VLOOKUP(F23,Háttértáblák!$N$2:$O$326,2,0),IF(OR(E23="_2018_2019_ősz",E23="_2019_2020_ősz"),VLOOKUP(F23,Háttértáblák!$S$2:$T$334,2,0),VLOOKUP(F23,Háttértáblák!$U$2:$V$330,2,0)))),"")</f>
        <v/>
      </c>
      <c r="I23" s="97" t="str">
        <f t="shared" si="0"/>
        <v>_</v>
      </c>
      <c r="J23" s="97" t="e">
        <f>IF(#REF!="","",E23&amp;"_"&amp;IF(#REF!=0.5,"fél_év",#REF!))</f>
        <v>#REF!</v>
      </c>
      <c r="K23" s="97" t="str">
        <f>IF(E23="_2019_2020_ősz",VLOOKUP(F23,#REF!,4,0),IF(OR(E23="_2018_2019_ősz",E23="_2018_2019_keresztfélév"),VLOOKUP(F23,#REF!,4,0),IF(E23="_2017_2018_keresztfélév",VLOOKUP(F23,#REF!,4,0),IF(E23="_2017_2018_ősz",VLOOKUP(F23,#REF!,4,0),IF(OR(E23="_2016_2017_ősz",E23="_2016_2017_keresztfélév"),VLOOKUP(F23,#REF!,4,0),"HIBA!")))))</f>
        <v>HIBA!</v>
      </c>
      <c r="L23" s="143" t="e">
        <f>H23&amp;" "&amp;#REF!</f>
        <v>#REF!</v>
      </c>
      <c r="M23" s="136">
        <f>'Támogatás szorzat tényezői'!$C$19*('Támogatás szorzat tényezői'!$C$16/'Támogatás szorzat tényezői'!$C$14)</f>
        <v>120000</v>
      </c>
      <c r="N23" s="98">
        <f t="shared" si="1"/>
        <v>0</v>
      </c>
      <c r="O23" s="120">
        <f t="shared" si="2"/>
        <v>0</v>
      </c>
      <c r="P23" s="325"/>
      <c r="Q23" s="249">
        <f t="shared" si="3"/>
        <v>0</v>
      </c>
      <c r="R23" s="326" t="str">
        <f t="shared" si="4"/>
        <v/>
      </c>
    </row>
    <row r="24" spans="1:18" ht="30" customHeight="1" x14ac:dyDescent="0.25">
      <c r="A24" s="227"/>
      <c r="B24" s="323" t="s">
        <v>1780</v>
      </c>
      <c r="C24" s="100"/>
      <c r="D24" s="100"/>
      <c r="E24" s="102"/>
      <c r="F24" s="100"/>
      <c r="G24" s="102"/>
      <c r="H24" s="97" t="str">
        <f>IFERROR(IF(E24="_2017_2018_ősz",VLOOKUP(F24,Háttértáblák!$L$2:$M$331,2,0),IF(E24="_2017_2018_keresztfélév",VLOOKUP(F24,Háttértáblák!$N$2:$O$326,2,0),IF(OR(E24="_2018_2019_ősz",E24="_2019_2020_ősz"),VLOOKUP(F24,Háttértáblák!$S$2:$T$334,2,0),VLOOKUP(F24,Háttértáblák!$U$2:$V$330,2,0)))),"")</f>
        <v/>
      </c>
      <c r="I24" s="97" t="str">
        <f t="shared" si="0"/>
        <v>_</v>
      </c>
      <c r="J24" s="97" t="e">
        <f>IF(#REF!="","",E24&amp;"_"&amp;IF(#REF!=0.5,"fél_év",#REF!))</f>
        <v>#REF!</v>
      </c>
      <c r="K24" s="97" t="str">
        <f>IF(E24="_2019_2020_ősz",VLOOKUP(F24,#REF!,4,0),IF(OR(E24="_2018_2019_ősz",E24="_2018_2019_keresztfélév"),VLOOKUP(F24,#REF!,4,0),IF(E24="_2017_2018_keresztfélév",VLOOKUP(F24,#REF!,4,0),IF(E24="_2017_2018_ősz",VLOOKUP(F24,#REF!,4,0),IF(OR(E24="_2016_2017_ősz",E24="_2016_2017_keresztfélév"),VLOOKUP(F24,#REF!,4,0),"HIBA!")))))</f>
        <v>HIBA!</v>
      </c>
      <c r="L24" s="143" t="e">
        <f>H24&amp;" "&amp;#REF!</f>
        <v>#REF!</v>
      </c>
      <c r="M24" s="136">
        <f>'Támogatás szorzat tényezői'!$C$19*('Támogatás szorzat tényezői'!$C$16/'Támogatás szorzat tényezői'!$C$14)</f>
        <v>120000</v>
      </c>
      <c r="N24" s="98">
        <f t="shared" si="1"/>
        <v>0</v>
      </c>
      <c r="O24" s="120">
        <f t="shared" si="2"/>
        <v>0</v>
      </c>
      <c r="P24" s="325"/>
      <c r="Q24" s="249">
        <f t="shared" si="3"/>
        <v>0</v>
      </c>
      <c r="R24" s="326" t="str">
        <f t="shared" si="4"/>
        <v/>
      </c>
    </row>
    <row r="25" spans="1:18" ht="30" customHeight="1" x14ac:dyDescent="0.25">
      <c r="A25" s="227"/>
      <c r="B25" s="323" t="s">
        <v>1780</v>
      </c>
      <c r="C25" s="100"/>
      <c r="D25" s="100"/>
      <c r="E25" s="102"/>
      <c r="F25" s="100"/>
      <c r="G25" s="102"/>
      <c r="H25" s="97" t="str">
        <f>IFERROR(IF(E25="_2017_2018_ősz",VLOOKUP(F25,Háttértáblák!$L$2:$M$331,2,0),IF(E25="_2017_2018_keresztfélév",VLOOKUP(F25,Háttértáblák!$N$2:$O$326,2,0),IF(OR(E25="_2018_2019_ősz",E25="_2019_2020_ősz"),VLOOKUP(F25,Háttértáblák!$S$2:$T$334,2,0),VLOOKUP(F25,Háttértáblák!$U$2:$V$330,2,0)))),"")</f>
        <v/>
      </c>
      <c r="I25" s="97" t="str">
        <f t="shared" si="0"/>
        <v>_</v>
      </c>
      <c r="J25" s="97" t="e">
        <f>IF(#REF!="","",E25&amp;"_"&amp;IF(#REF!=0.5,"fél_év",#REF!))</f>
        <v>#REF!</v>
      </c>
      <c r="K25" s="97" t="str">
        <f>IF(E25="_2019_2020_ősz",VLOOKUP(F25,#REF!,4,0),IF(OR(E25="_2018_2019_ősz",E25="_2018_2019_keresztfélév"),VLOOKUP(F25,#REF!,4,0),IF(E25="_2017_2018_keresztfélév",VLOOKUP(F25,#REF!,4,0),IF(E25="_2017_2018_ősz",VLOOKUP(F25,#REF!,4,0),IF(OR(E25="_2016_2017_ősz",E25="_2016_2017_keresztfélév"),VLOOKUP(F25,#REF!,4,0),"HIBA!")))))</f>
        <v>HIBA!</v>
      </c>
      <c r="L25" s="143" t="e">
        <f>H25&amp;" "&amp;#REF!</f>
        <v>#REF!</v>
      </c>
      <c r="M25" s="136">
        <f>'Támogatás szorzat tényezői'!$C$19*('Támogatás szorzat tényezői'!$C$16/'Támogatás szorzat tényezői'!$C$14)</f>
        <v>120000</v>
      </c>
      <c r="N25" s="98">
        <f t="shared" si="1"/>
        <v>0</v>
      </c>
      <c r="O25" s="120">
        <f t="shared" si="2"/>
        <v>0</v>
      </c>
      <c r="P25" s="325"/>
      <c r="Q25" s="249">
        <f t="shared" si="3"/>
        <v>0</v>
      </c>
      <c r="R25" s="326" t="str">
        <f t="shared" si="4"/>
        <v/>
      </c>
    </row>
    <row r="26" spans="1:18" ht="30" customHeight="1" x14ac:dyDescent="0.25">
      <c r="A26" s="227"/>
      <c r="B26" s="323" t="s">
        <v>1780</v>
      </c>
      <c r="C26" s="100"/>
      <c r="D26" s="100"/>
      <c r="E26" s="102"/>
      <c r="F26" s="100"/>
      <c r="G26" s="102"/>
      <c r="H26" s="97" t="str">
        <f>IFERROR(IF(E26="_2017_2018_ősz",VLOOKUP(F26,Háttértáblák!$L$2:$M$331,2,0),IF(E26="_2017_2018_keresztfélév",VLOOKUP(F26,Háttértáblák!$N$2:$O$326,2,0),IF(OR(E26="_2018_2019_ősz",E26="_2019_2020_ősz"),VLOOKUP(F26,Háttértáblák!$S$2:$T$334,2,0),VLOOKUP(F26,Háttértáblák!$U$2:$V$330,2,0)))),"")</f>
        <v/>
      </c>
      <c r="I26" s="97" t="str">
        <f t="shared" si="0"/>
        <v>_</v>
      </c>
      <c r="J26" s="97" t="e">
        <f>IF(#REF!="","",E26&amp;"_"&amp;IF(#REF!=0.5,"fél_év",#REF!))</f>
        <v>#REF!</v>
      </c>
      <c r="K26" s="97" t="str">
        <f>IF(E26="_2019_2020_ősz",VLOOKUP(F26,#REF!,4,0),IF(OR(E26="_2018_2019_ősz",E26="_2018_2019_keresztfélév"),VLOOKUP(F26,#REF!,4,0),IF(E26="_2017_2018_keresztfélév",VLOOKUP(F26,#REF!,4,0),IF(E26="_2017_2018_ősz",VLOOKUP(F26,#REF!,4,0),IF(OR(E26="_2016_2017_ősz",E26="_2016_2017_keresztfélév"),VLOOKUP(F26,#REF!,4,0),"HIBA!")))))</f>
        <v>HIBA!</v>
      </c>
      <c r="L26" s="143" t="e">
        <f>H26&amp;" "&amp;#REF!</f>
        <v>#REF!</v>
      </c>
      <c r="M26" s="136">
        <f>'Támogatás szorzat tényezői'!$C$19*('Támogatás szorzat tényezői'!$C$16/'Támogatás szorzat tényezői'!$C$14)</f>
        <v>120000</v>
      </c>
      <c r="N26" s="98">
        <f t="shared" si="1"/>
        <v>0</v>
      </c>
      <c r="O26" s="120">
        <f t="shared" si="2"/>
        <v>0</v>
      </c>
      <c r="P26" s="325"/>
      <c r="Q26" s="249">
        <f t="shared" si="3"/>
        <v>0</v>
      </c>
      <c r="R26" s="326" t="str">
        <f t="shared" si="4"/>
        <v/>
      </c>
    </row>
    <row r="27" spans="1:18" ht="30" customHeight="1" x14ac:dyDescent="0.25">
      <c r="A27" s="227"/>
      <c r="B27" s="323" t="s">
        <v>1780</v>
      </c>
      <c r="C27" s="100"/>
      <c r="D27" s="100"/>
      <c r="E27" s="102"/>
      <c r="F27" s="100"/>
      <c r="G27" s="102"/>
      <c r="H27" s="97" t="str">
        <f>IFERROR(IF(E27="_2017_2018_ősz",VLOOKUP(F27,Háttértáblák!$L$2:$M$331,2,0),IF(E27="_2017_2018_keresztfélév",VLOOKUP(F27,Háttértáblák!$N$2:$O$326,2,0),IF(OR(E27="_2018_2019_ősz",E27="_2019_2020_ősz"),VLOOKUP(F27,Háttértáblák!$S$2:$T$334,2,0),VLOOKUP(F27,Háttértáblák!$U$2:$V$330,2,0)))),"")</f>
        <v/>
      </c>
      <c r="I27" s="97" t="str">
        <f t="shared" si="0"/>
        <v>_</v>
      </c>
      <c r="J27" s="97" t="e">
        <f>IF(#REF!="","",E27&amp;"_"&amp;IF(#REF!=0.5,"fél_év",#REF!))</f>
        <v>#REF!</v>
      </c>
      <c r="K27" s="97" t="str">
        <f>IF(E27="_2019_2020_ősz",VLOOKUP(F27,#REF!,4,0),IF(OR(E27="_2018_2019_ősz",E27="_2018_2019_keresztfélév"),VLOOKUP(F27,#REF!,4,0),IF(E27="_2017_2018_keresztfélév",VLOOKUP(F27,#REF!,4,0),IF(E27="_2017_2018_ősz",VLOOKUP(F27,#REF!,4,0),IF(OR(E27="_2016_2017_ősz",E27="_2016_2017_keresztfélév"),VLOOKUP(F27,#REF!,4,0),"HIBA!")))))</f>
        <v>HIBA!</v>
      </c>
      <c r="L27" s="143" t="e">
        <f>H27&amp;" "&amp;#REF!</f>
        <v>#REF!</v>
      </c>
      <c r="M27" s="136">
        <f>'Támogatás szorzat tényezői'!$C$19*('Támogatás szorzat tényezői'!$C$16/'Támogatás szorzat tényezői'!$C$14)</f>
        <v>120000</v>
      </c>
      <c r="N27" s="98">
        <f t="shared" si="1"/>
        <v>0</v>
      </c>
      <c r="O27" s="120">
        <f t="shared" si="2"/>
        <v>0</v>
      </c>
      <c r="P27" s="325"/>
      <c r="Q27" s="249">
        <f t="shared" si="3"/>
        <v>0</v>
      </c>
      <c r="R27" s="326" t="str">
        <f t="shared" si="4"/>
        <v/>
      </c>
    </row>
    <row r="28" spans="1:18" ht="30" customHeight="1" x14ac:dyDescent="0.25">
      <c r="A28" s="227"/>
      <c r="B28" s="323" t="s">
        <v>1780</v>
      </c>
      <c r="C28" s="100"/>
      <c r="D28" s="100"/>
      <c r="E28" s="102"/>
      <c r="F28" s="100"/>
      <c r="G28" s="102"/>
      <c r="H28" s="97" t="str">
        <f>IFERROR(IF(E28="_2017_2018_ősz",VLOOKUP(F28,Háttértáblák!$L$2:$M$331,2,0),IF(E28="_2017_2018_keresztfélév",VLOOKUP(F28,Háttértáblák!$N$2:$O$326,2,0),IF(OR(E28="_2018_2019_ősz",E28="_2019_2020_ősz"),VLOOKUP(F28,Háttértáblák!$S$2:$T$334,2,0),VLOOKUP(F28,Háttértáblák!$U$2:$V$330,2,0)))),"")</f>
        <v/>
      </c>
      <c r="I28" s="97" t="str">
        <f t="shared" si="0"/>
        <v>_</v>
      </c>
      <c r="J28" s="97" t="e">
        <f>IF(#REF!="","",E28&amp;"_"&amp;IF(#REF!=0.5,"fél_év",#REF!))</f>
        <v>#REF!</v>
      </c>
      <c r="K28" s="97" t="str">
        <f>IF(E28="_2019_2020_ősz",VLOOKUP(F28,#REF!,4,0),IF(OR(E28="_2018_2019_ősz",E28="_2018_2019_keresztfélév"),VLOOKUP(F28,#REF!,4,0),IF(E28="_2017_2018_keresztfélév",VLOOKUP(F28,#REF!,4,0),IF(E28="_2017_2018_ősz",VLOOKUP(F28,#REF!,4,0),IF(OR(E28="_2016_2017_ősz",E28="_2016_2017_keresztfélév"),VLOOKUP(F28,#REF!,4,0),"HIBA!")))))</f>
        <v>HIBA!</v>
      </c>
      <c r="L28" s="143" t="e">
        <f>H28&amp;" "&amp;#REF!</f>
        <v>#REF!</v>
      </c>
      <c r="M28" s="136">
        <f>'Támogatás szorzat tényezői'!$C$19*('Támogatás szorzat tényezői'!$C$16/'Támogatás szorzat tényezői'!$C$14)</f>
        <v>120000</v>
      </c>
      <c r="N28" s="98">
        <f t="shared" si="1"/>
        <v>0</v>
      </c>
      <c r="O28" s="120">
        <f t="shared" si="2"/>
        <v>0</v>
      </c>
      <c r="P28" s="325"/>
      <c r="Q28" s="249">
        <f t="shared" si="3"/>
        <v>0</v>
      </c>
      <c r="R28" s="326" t="str">
        <f t="shared" si="4"/>
        <v/>
      </c>
    </row>
    <row r="29" spans="1:18" ht="30" customHeight="1" x14ac:dyDescent="0.25">
      <c r="A29" s="227"/>
      <c r="B29" s="323" t="s">
        <v>1780</v>
      </c>
      <c r="C29" s="100"/>
      <c r="D29" s="100"/>
      <c r="E29" s="102"/>
      <c r="F29" s="100"/>
      <c r="G29" s="102"/>
      <c r="H29" s="97" t="str">
        <f>IFERROR(IF(E29="_2017_2018_ősz",VLOOKUP(F29,Háttértáblák!$L$2:$M$331,2,0),IF(E29="_2017_2018_keresztfélév",VLOOKUP(F29,Háttértáblák!$N$2:$O$326,2,0),IF(OR(E29="_2018_2019_ősz",E29="_2019_2020_ősz"),VLOOKUP(F29,Háttértáblák!$S$2:$T$334,2,0),VLOOKUP(F29,Háttértáblák!$U$2:$V$330,2,0)))),"")</f>
        <v/>
      </c>
      <c r="I29" s="97" t="str">
        <f t="shared" si="0"/>
        <v>_</v>
      </c>
      <c r="J29" s="97" t="e">
        <f>IF(#REF!="","",E29&amp;"_"&amp;IF(#REF!=0.5,"fél_év",#REF!))</f>
        <v>#REF!</v>
      </c>
      <c r="K29" s="97" t="str">
        <f>IF(E29="_2019_2020_ősz",VLOOKUP(F29,#REF!,4,0),IF(OR(E29="_2018_2019_ősz",E29="_2018_2019_keresztfélév"),VLOOKUP(F29,#REF!,4,0),IF(E29="_2017_2018_keresztfélév",VLOOKUP(F29,#REF!,4,0),IF(E29="_2017_2018_ősz",VLOOKUP(F29,#REF!,4,0),IF(OR(E29="_2016_2017_ősz",E29="_2016_2017_keresztfélév"),VLOOKUP(F29,#REF!,4,0),"HIBA!")))))</f>
        <v>HIBA!</v>
      </c>
      <c r="L29" s="143" t="e">
        <f>H29&amp;" "&amp;#REF!</f>
        <v>#REF!</v>
      </c>
      <c r="M29" s="136">
        <f>'Támogatás szorzat tényezői'!$C$19*('Támogatás szorzat tényezői'!$C$16/'Támogatás szorzat tényezői'!$C$14)</f>
        <v>120000</v>
      </c>
      <c r="N29" s="98">
        <f t="shared" si="1"/>
        <v>0</v>
      </c>
      <c r="O29" s="120">
        <f t="shared" si="2"/>
        <v>0</v>
      </c>
      <c r="P29" s="325"/>
      <c r="Q29" s="249">
        <f t="shared" si="3"/>
        <v>0</v>
      </c>
      <c r="R29" s="326" t="str">
        <f t="shared" si="4"/>
        <v/>
      </c>
    </row>
    <row r="30" spans="1:18" ht="30" customHeight="1" x14ac:dyDescent="0.25">
      <c r="A30" s="227"/>
      <c r="B30" s="323" t="s">
        <v>1780</v>
      </c>
      <c r="C30" s="100"/>
      <c r="D30" s="100"/>
      <c r="E30" s="102"/>
      <c r="F30" s="100"/>
      <c r="G30" s="102"/>
      <c r="H30" s="97" t="str">
        <f>IFERROR(IF(E30="_2017_2018_ősz",VLOOKUP(F30,Háttértáblák!$L$2:$M$331,2,0),IF(E30="_2017_2018_keresztfélév",VLOOKUP(F30,Háttértáblák!$N$2:$O$326,2,0),IF(OR(E30="_2018_2019_ősz",E30="_2019_2020_ősz"),VLOOKUP(F30,Háttértáblák!$S$2:$T$334,2,0),VLOOKUP(F30,Háttértáblák!$U$2:$V$330,2,0)))),"")</f>
        <v/>
      </c>
      <c r="I30" s="97" t="str">
        <f t="shared" si="0"/>
        <v>_</v>
      </c>
      <c r="J30" s="97" t="e">
        <f>IF(#REF!="","",E30&amp;"_"&amp;IF(#REF!=0.5,"fél_év",#REF!))</f>
        <v>#REF!</v>
      </c>
      <c r="K30" s="97" t="str">
        <f>IF(E30="_2019_2020_ősz",VLOOKUP(F30,#REF!,4,0),IF(OR(E30="_2018_2019_ősz",E30="_2018_2019_keresztfélév"),VLOOKUP(F30,#REF!,4,0),IF(E30="_2017_2018_keresztfélév",VLOOKUP(F30,#REF!,4,0),IF(E30="_2017_2018_ősz",VLOOKUP(F30,#REF!,4,0),IF(OR(E30="_2016_2017_ősz",E30="_2016_2017_keresztfélév"),VLOOKUP(F30,#REF!,4,0),"HIBA!")))))</f>
        <v>HIBA!</v>
      </c>
      <c r="L30" s="143" t="e">
        <f>H30&amp;" "&amp;#REF!</f>
        <v>#REF!</v>
      </c>
      <c r="M30" s="136">
        <f>'Támogatás szorzat tényezői'!$C$19*('Támogatás szorzat tényezői'!$C$16/'Támogatás szorzat tényezői'!$C$14)</f>
        <v>120000</v>
      </c>
      <c r="N30" s="98">
        <f t="shared" si="1"/>
        <v>0</v>
      </c>
      <c r="O30" s="120">
        <f t="shared" si="2"/>
        <v>0</v>
      </c>
      <c r="P30" s="325"/>
      <c r="Q30" s="249">
        <f t="shared" si="3"/>
        <v>0</v>
      </c>
      <c r="R30" s="326" t="str">
        <f t="shared" si="4"/>
        <v/>
      </c>
    </row>
    <row r="31" spans="1:18" ht="30" customHeight="1" x14ac:dyDescent="0.25">
      <c r="A31" s="227"/>
      <c r="B31" s="323" t="s">
        <v>1780</v>
      </c>
      <c r="C31" s="100"/>
      <c r="D31" s="100"/>
      <c r="E31" s="102"/>
      <c r="F31" s="100"/>
      <c r="G31" s="102"/>
      <c r="H31" s="97" t="str">
        <f>IFERROR(IF(E31="_2017_2018_ősz",VLOOKUP(F31,Háttértáblák!$L$2:$M$331,2,0),IF(E31="_2017_2018_keresztfélév",VLOOKUP(F31,Háttértáblák!$N$2:$O$326,2,0),IF(OR(E31="_2018_2019_ősz",E31="_2019_2020_ősz"),VLOOKUP(F31,Háttértáblák!$S$2:$T$334,2,0),VLOOKUP(F31,Háttértáblák!$U$2:$V$330,2,0)))),"")</f>
        <v/>
      </c>
      <c r="I31" s="97" t="str">
        <f t="shared" si="0"/>
        <v>_</v>
      </c>
      <c r="J31" s="97" t="e">
        <f>IF(#REF!="","",E31&amp;"_"&amp;IF(#REF!=0.5,"fél_év",#REF!))</f>
        <v>#REF!</v>
      </c>
      <c r="K31" s="97" t="str">
        <f>IF(E31="_2019_2020_ősz",VLOOKUP(F31,#REF!,4,0),IF(OR(E31="_2018_2019_ősz",E31="_2018_2019_keresztfélév"),VLOOKUP(F31,#REF!,4,0),IF(E31="_2017_2018_keresztfélév",VLOOKUP(F31,#REF!,4,0),IF(E31="_2017_2018_ősz",VLOOKUP(F31,#REF!,4,0),IF(OR(E31="_2016_2017_ősz",E31="_2016_2017_keresztfélév"),VLOOKUP(F31,#REF!,4,0),"HIBA!")))))</f>
        <v>HIBA!</v>
      </c>
      <c r="L31" s="143" t="e">
        <f>H31&amp;" "&amp;#REF!</f>
        <v>#REF!</v>
      </c>
      <c r="M31" s="136">
        <f>'Támogatás szorzat tényezői'!$C$19*('Támogatás szorzat tényezői'!$C$16/'Támogatás szorzat tényezői'!$C$14)</f>
        <v>120000</v>
      </c>
      <c r="N31" s="98">
        <f t="shared" si="1"/>
        <v>0</v>
      </c>
      <c r="O31" s="120">
        <f t="shared" si="2"/>
        <v>0</v>
      </c>
      <c r="P31" s="325"/>
      <c r="Q31" s="249">
        <f t="shared" si="3"/>
        <v>0</v>
      </c>
      <c r="R31" s="326" t="str">
        <f t="shared" si="4"/>
        <v/>
      </c>
    </row>
    <row r="32" spans="1:18" ht="30" customHeight="1" x14ac:dyDescent="0.25">
      <c r="A32" s="227"/>
      <c r="B32" s="323" t="s">
        <v>1780</v>
      </c>
      <c r="C32" s="100"/>
      <c r="D32" s="100"/>
      <c r="E32" s="102"/>
      <c r="F32" s="100"/>
      <c r="G32" s="102"/>
      <c r="H32" s="97" t="str">
        <f>IFERROR(IF(E32="_2017_2018_ősz",VLOOKUP(F32,Háttértáblák!$L$2:$M$331,2,0),IF(E32="_2017_2018_keresztfélév",VLOOKUP(F32,Háttértáblák!$N$2:$O$326,2,0),IF(OR(E32="_2018_2019_ősz",E32="_2019_2020_ősz"),VLOOKUP(F32,Háttértáblák!$S$2:$T$334,2,0),VLOOKUP(F32,Háttértáblák!$U$2:$V$330,2,0)))),"")</f>
        <v/>
      </c>
      <c r="I32" s="97" t="str">
        <f t="shared" si="0"/>
        <v>_</v>
      </c>
      <c r="J32" s="97" t="e">
        <f>IF(#REF!="","",E32&amp;"_"&amp;IF(#REF!=0.5,"fél_év",#REF!))</f>
        <v>#REF!</v>
      </c>
      <c r="K32" s="97" t="str">
        <f>IF(E32="_2019_2020_ősz",VLOOKUP(F32,#REF!,4,0),IF(OR(E32="_2018_2019_ősz",E32="_2018_2019_keresztfélév"),VLOOKUP(F32,#REF!,4,0),IF(E32="_2017_2018_keresztfélév",VLOOKUP(F32,#REF!,4,0),IF(E32="_2017_2018_ősz",VLOOKUP(F32,#REF!,4,0),IF(OR(E32="_2016_2017_ősz",E32="_2016_2017_keresztfélév"),VLOOKUP(F32,#REF!,4,0),"HIBA!")))))</f>
        <v>HIBA!</v>
      </c>
      <c r="L32" s="143" t="e">
        <f>H32&amp;" "&amp;#REF!</f>
        <v>#REF!</v>
      </c>
      <c r="M32" s="136">
        <f>'Támogatás szorzat tényezői'!$C$19*('Támogatás szorzat tényezői'!$C$16/'Támogatás szorzat tényezői'!$C$14)</f>
        <v>120000</v>
      </c>
      <c r="N32" s="98">
        <f t="shared" si="1"/>
        <v>0</v>
      </c>
      <c r="O32" s="120">
        <f t="shared" si="2"/>
        <v>0</v>
      </c>
      <c r="P32" s="325"/>
      <c r="Q32" s="249">
        <f t="shared" si="3"/>
        <v>0</v>
      </c>
      <c r="R32" s="326" t="str">
        <f t="shared" si="4"/>
        <v/>
      </c>
    </row>
    <row r="33" spans="1:18" ht="30" customHeight="1" x14ac:dyDescent="0.25">
      <c r="A33" s="227"/>
      <c r="B33" s="323" t="s">
        <v>1780</v>
      </c>
      <c r="C33" s="100"/>
      <c r="D33" s="100"/>
      <c r="E33" s="102"/>
      <c r="F33" s="100"/>
      <c r="G33" s="102"/>
      <c r="H33" s="97" t="str">
        <f>IFERROR(IF(E33="_2017_2018_ősz",VLOOKUP(F33,Háttértáblák!$L$2:$M$331,2,0),IF(E33="_2017_2018_keresztfélév",VLOOKUP(F33,Háttértáblák!$N$2:$O$326,2,0),IF(OR(E33="_2018_2019_ősz",E33="_2019_2020_ősz"),VLOOKUP(F33,Háttértáblák!$S$2:$T$334,2,0),VLOOKUP(F33,Háttértáblák!$U$2:$V$330,2,0)))),"")</f>
        <v/>
      </c>
      <c r="I33" s="97" t="str">
        <f t="shared" si="0"/>
        <v>_</v>
      </c>
      <c r="J33" s="97" t="e">
        <f>IF(#REF!="","",E33&amp;"_"&amp;IF(#REF!=0.5,"fél_év",#REF!))</f>
        <v>#REF!</v>
      </c>
      <c r="K33" s="97" t="str">
        <f>IF(E33="_2019_2020_ősz",VLOOKUP(F33,#REF!,4,0),IF(OR(E33="_2018_2019_ősz",E33="_2018_2019_keresztfélév"),VLOOKUP(F33,#REF!,4,0),IF(E33="_2017_2018_keresztfélév",VLOOKUP(F33,#REF!,4,0),IF(E33="_2017_2018_ősz",VLOOKUP(F33,#REF!,4,0),IF(OR(E33="_2016_2017_ősz",E33="_2016_2017_keresztfélév"),VLOOKUP(F33,#REF!,4,0),"HIBA!")))))</f>
        <v>HIBA!</v>
      </c>
      <c r="L33" s="143" t="e">
        <f>H33&amp;" "&amp;#REF!</f>
        <v>#REF!</v>
      </c>
      <c r="M33" s="136">
        <f>'Támogatás szorzat tényezői'!$C$19*('Támogatás szorzat tényezői'!$C$16/'Támogatás szorzat tényezői'!$C$14)</f>
        <v>120000</v>
      </c>
      <c r="N33" s="98">
        <f t="shared" si="1"/>
        <v>0</v>
      </c>
      <c r="O33" s="120">
        <f t="shared" si="2"/>
        <v>0</v>
      </c>
      <c r="P33" s="325"/>
      <c r="Q33" s="249">
        <f t="shared" si="3"/>
        <v>0</v>
      </c>
      <c r="R33" s="326" t="str">
        <f t="shared" si="4"/>
        <v/>
      </c>
    </row>
    <row r="34" spans="1:18" ht="30" customHeight="1" x14ac:dyDescent="0.25">
      <c r="A34" s="227"/>
      <c r="B34" s="323" t="s">
        <v>1780</v>
      </c>
      <c r="C34" s="100"/>
      <c r="D34" s="100"/>
      <c r="E34" s="102"/>
      <c r="F34" s="100"/>
      <c r="G34" s="102"/>
      <c r="H34" s="97" t="str">
        <f>IFERROR(IF(E34="_2017_2018_ősz",VLOOKUP(F34,Háttértáblák!$L$2:$M$331,2,0),IF(E34="_2017_2018_keresztfélév",VLOOKUP(F34,Háttértáblák!$N$2:$O$326,2,0),IF(OR(E34="_2018_2019_ősz",E34="_2019_2020_ősz"),VLOOKUP(F34,Háttértáblák!$S$2:$T$334,2,0),VLOOKUP(F34,Háttértáblák!$U$2:$V$330,2,0)))),"")</f>
        <v/>
      </c>
      <c r="I34" s="97" t="str">
        <f t="shared" si="0"/>
        <v>_</v>
      </c>
      <c r="J34" s="97" t="e">
        <f>IF(#REF!="","",E34&amp;"_"&amp;IF(#REF!=0.5,"fél_év",#REF!))</f>
        <v>#REF!</v>
      </c>
      <c r="K34" s="97" t="str">
        <f>IF(E34="_2019_2020_ősz",VLOOKUP(F34,#REF!,4,0),IF(OR(E34="_2018_2019_ősz",E34="_2018_2019_keresztfélév"),VLOOKUP(F34,#REF!,4,0),IF(E34="_2017_2018_keresztfélév",VLOOKUP(F34,#REF!,4,0),IF(E34="_2017_2018_ősz",VLOOKUP(F34,#REF!,4,0),IF(OR(E34="_2016_2017_ősz",E34="_2016_2017_keresztfélév"),VLOOKUP(F34,#REF!,4,0),"HIBA!")))))</f>
        <v>HIBA!</v>
      </c>
      <c r="L34" s="143" t="e">
        <f>H34&amp;" "&amp;#REF!</f>
        <v>#REF!</v>
      </c>
      <c r="M34" s="136">
        <f>'Támogatás szorzat tényezői'!$C$19*('Támogatás szorzat tényezői'!$C$16/'Támogatás szorzat tényezői'!$C$14)</f>
        <v>120000</v>
      </c>
      <c r="N34" s="98">
        <f t="shared" si="1"/>
        <v>0</v>
      </c>
      <c r="O34" s="120">
        <f t="shared" si="2"/>
        <v>0</v>
      </c>
      <c r="P34" s="325"/>
      <c r="Q34" s="249">
        <f t="shared" si="3"/>
        <v>0</v>
      </c>
      <c r="R34" s="326" t="str">
        <f t="shared" si="4"/>
        <v/>
      </c>
    </row>
    <row r="35" spans="1:18" ht="30" customHeight="1" x14ac:dyDescent="0.25">
      <c r="A35" s="227"/>
      <c r="B35" s="323" t="s">
        <v>1780</v>
      </c>
      <c r="C35" s="100"/>
      <c r="D35" s="100"/>
      <c r="E35" s="102"/>
      <c r="F35" s="100"/>
      <c r="G35" s="102"/>
      <c r="H35" s="97" t="str">
        <f>IFERROR(IF(E35="_2017_2018_ősz",VLOOKUP(F35,Háttértáblák!$L$2:$M$331,2,0),IF(E35="_2017_2018_keresztfélév",VLOOKUP(F35,Háttértáblák!$N$2:$O$326,2,0),IF(OR(E35="_2018_2019_ősz",E35="_2019_2020_ősz"),VLOOKUP(F35,Háttértáblák!$S$2:$T$334,2,0),VLOOKUP(F35,Háttértáblák!$U$2:$V$330,2,0)))),"")</f>
        <v/>
      </c>
      <c r="I35" s="97" t="str">
        <f t="shared" si="0"/>
        <v>_</v>
      </c>
      <c r="J35" s="97" t="e">
        <f>IF(#REF!="","",E35&amp;"_"&amp;IF(#REF!=0.5,"fél_év",#REF!))</f>
        <v>#REF!</v>
      </c>
      <c r="K35" s="97" t="str">
        <f>IF(E35="_2019_2020_ősz",VLOOKUP(F35,#REF!,4,0),IF(OR(E35="_2018_2019_ősz",E35="_2018_2019_keresztfélév"),VLOOKUP(F35,#REF!,4,0),IF(E35="_2017_2018_keresztfélév",VLOOKUP(F35,#REF!,4,0),IF(E35="_2017_2018_ősz",VLOOKUP(F35,#REF!,4,0),IF(OR(E35="_2016_2017_ősz",E35="_2016_2017_keresztfélév"),VLOOKUP(F35,#REF!,4,0),"HIBA!")))))</f>
        <v>HIBA!</v>
      </c>
      <c r="L35" s="143" t="e">
        <f>H35&amp;" "&amp;#REF!</f>
        <v>#REF!</v>
      </c>
      <c r="M35" s="136">
        <f>'Támogatás szorzat tényezői'!$C$19*('Támogatás szorzat tényezői'!$C$16/'Támogatás szorzat tényezői'!$C$14)</f>
        <v>120000</v>
      </c>
      <c r="N35" s="98">
        <f t="shared" si="1"/>
        <v>0</v>
      </c>
      <c r="O35" s="120">
        <f t="shared" si="2"/>
        <v>0</v>
      </c>
      <c r="P35" s="325"/>
      <c r="Q35" s="249">
        <f t="shared" si="3"/>
        <v>0</v>
      </c>
      <c r="R35" s="326" t="str">
        <f t="shared" si="4"/>
        <v/>
      </c>
    </row>
    <row r="36" spans="1:18" ht="30" customHeight="1" x14ac:dyDescent="0.25">
      <c r="A36" s="227"/>
      <c r="B36" s="323" t="s">
        <v>1780</v>
      </c>
      <c r="C36" s="100"/>
      <c r="D36" s="100"/>
      <c r="E36" s="102"/>
      <c r="F36" s="100"/>
      <c r="G36" s="102"/>
      <c r="H36" s="97" t="str">
        <f>IFERROR(IF(E36="_2017_2018_ősz",VLOOKUP(F36,Háttértáblák!$L$2:$M$331,2,0),IF(E36="_2017_2018_keresztfélév",VLOOKUP(F36,Háttértáblák!$N$2:$O$326,2,0),IF(OR(E36="_2018_2019_ősz",E36="_2019_2020_ősz"),VLOOKUP(F36,Háttértáblák!$S$2:$T$334,2,0),VLOOKUP(F36,Háttértáblák!$U$2:$V$330,2,0)))),"")</f>
        <v/>
      </c>
      <c r="I36" s="97" t="str">
        <f t="shared" si="0"/>
        <v>_</v>
      </c>
      <c r="J36" s="97" t="e">
        <f>IF(#REF!="","",E36&amp;"_"&amp;IF(#REF!=0.5,"fél_év",#REF!))</f>
        <v>#REF!</v>
      </c>
      <c r="K36" s="97" t="str">
        <f>IF(E36="_2019_2020_ősz",VLOOKUP(F36,#REF!,4,0),IF(OR(E36="_2018_2019_ősz",E36="_2018_2019_keresztfélév"),VLOOKUP(F36,#REF!,4,0),IF(E36="_2017_2018_keresztfélév",VLOOKUP(F36,#REF!,4,0),IF(E36="_2017_2018_ősz",VLOOKUP(F36,#REF!,4,0),IF(OR(E36="_2016_2017_ősz",E36="_2016_2017_keresztfélév"),VLOOKUP(F36,#REF!,4,0),"HIBA!")))))</f>
        <v>HIBA!</v>
      </c>
      <c r="L36" s="143" t="e">
        <f>H36&amp;" "&amp;#REF!</f>
        <v>#REF!</v>
      </c>
      <c r="M36" s="136">
        <f>'Támogatás szorzat tényezői'!$C$19*('Támogatás szorzat tényezői'!$C$16/'Támogatás szorzat tényezői'!$C$14)</f>
        <v>120000</v>
      </c>
      <c r="N36" s="98">
        <f t="shared" si="1"/>
        <v>0</v>
      </c>
      <c r="O36" s="120">
        <f t="shared" si="2"/>
        <v>0</v>
      </c>
      <c r="P36" s="325"/>
      <c r="Q36" s="249">
        <f t="shared" si="3"/>
        <v>0</v>
      </c>
      <c r="R36" s="326" t="str">
        <f t="shared" si="4"/>
        <v/>
      </c>
    </row>
    <row r="37" spans="1:18" ht="30" customHeight="1" x14ac:dyDescent="0.25">
      <c r="A37" s="227"/>
      <c r="B37" s="323" t="s">
        <v>1780</v>
      </c>
      <c r="C37" s="100"/>
      <c r="D37" s="100"/>
      <c r="E37" s="102"/>
      <c r="F37" s="100"/>
      <c r="G37" s="102"/>
      <c r="H37" s="97" t="str">
        <f>IFERROR(IF(E37="_2017_2018_ősz",VLOOKUP(F37,Háttértáblák!$L$2:$M$331,2,0),IF(E37="_2017_2018_keresztfélév",VLOOKUP(F37,Háttértáblák!$N$2:$O$326,2,0),IF(OR(E37="_2018_2019_ősz",E37="_2019_2020_ősz"),VLOOKUP(F37,Háttértáblák!$S$2:$T$334,2,0),VLOOKUP(F37,Háttértáblák!$U$2:$V$330,2,0)))),"")</f>
        <v/>
      </c>
      <c r="I37" s="97" t="str">
        <f t="shared" si="0"/>
        <v>_</v>
      </c>
      <c r="J37" s="97" t="e">
        <f>IF(#REF!="","",E37&amp;"_"&amp;IF(#REF!=0.5,"fél_év",#REF!))</f>
        <v>#REF!</v>
      </c>
      <c r="K37" s="97" t="str">
        <f>IF(E37="_2019_2020_ősz",VLOOKUP(F37,#REF!,4,0),IF(OR(E37="_2018_2019_ősz",E37="_2018_2019_keresztfélév"),VLOOKUP(F37,#REF!,4,0),IF(E37="_2017_2018_keresztfélév",VLOOKUP(F37,#REF!,4,0),IF(E37="_2017_2018_ősz",VLOOKUP(F37,#REF!,4,0),IF(OR(E37="_2016_2017_ősz",E37="_2016_2017_keresztfélév"),VLOOKUP(F37,#REF!,4,0),"HIBA!")))))</f>
        <v>HIBA!</v>
      </c>
      <c r="L37" s="143" t="e">
        <f>H37&amp;" "&amp;#REF!</f>
        <v>#REF!</v>
      </c>
      <c r="M37" s="136">
        <f>'Támogatás szorzat tényezői'!$C$19*('Támogatás szorzat tényezői'!$C$16/'Támogatás szorzat tényezői'!$C$14)</f>
        <v>120000</v>
      </c>
      <c r="N37" s="98">
        <f t="shared" si="1"/>
        <v>0</v>
      </c>
      <c r="O37" s="120">
        <f t="shared" si="2"/>
        <v>0</v>
      </c>
      <c r="P37" s="325"/>
      <c r="Q37" s="249">
        <f t="shared" si="3"/>
        <v>0</v>
      </c>
      <c r="R37" s="326" t="str">
        <f t="shared" si="4"/>
        <v/>
      </c>
    </row>
    <row r="38" spans="1:18" ht="30" customHeight="1" x14ac:dyDescent="0.25">
      <c r="A38" s="227"/>
      <c r="B38" s="323" t="s">
        <v>1780</v>
      </c>
      <c r="C38" s="100"/>
      <c r="D38" s="100"/>
      <c r="E38" s="102"/>
      <c r="F38" s="100"/>
      <c r="G38" s="102"/>
      <c r="H38" s="97" t="str">
        <f>IFERROR(IF(E38="_2017_2018_ősz",VLOOKUP(F38,Háttértáblák!$L$2:$M$331,2,0),IF(E38="_2017_2018_keresztfélév",VLOOKUP(F38,Háttértáblák!$N$2:$O$326,2,0),IF(OR(E38="_2018_2019_ősz",E38="_2019_2020_ősz"),VLOOKUP(F38,Háttértáblák!$S$2:$T$334,2,0),VLOOKUP(F38,Háttértáblák!$U$2:$V$330,2,0)))),"")</f>
        <v/>
      </c>
      <c r="I38" s="97" t="str">
        <f t="shared" si="0"/>
        <v>_</v>
      </c>
      <c r="J38" s="97" t="e">
        <f>IF(#REF!="","",E38&amp;"_"&amp;IF(#REF!=0.5,"fél_év",#REF!))</f>
        <v>#REF!</v>
      </c>
      <c r="K38" s="97" t="str">
        <f>IF(E38="_2019_2020_ősz",VLOOKUP(F38,#REF!,4,0),IF(OR(E38="_2018_2019_ősz",E38="_2018_2019_keresztfélév"),VLOOKUP(F38,#REF!,4,0),IF(E38="_2017_2018_keresztfélév",VLOOKUP(F38,#REF!,4,0),IF(E38="_2017_2018_ősz",VLOOKUP(F38,#REF!,4,0),IF(OR(E38="_2016_2017_ősz",E38="_2016_2017_keresztfélév"),VLOOKUP(F38,#REF!,4,0),"HIBA!")))))</f>
        <v>HIBA!</v>
      </c>
      <c r="L38" s="143" t="e">
        <f>H38&amp;" "&amp;#REF!</f>
        <v>#REF!</v>
      </c>
      <c r="M38" s="136">
        <f>'Támogatás szorzat tényezői'!$C$19*('Támogatás szorzat tényezői'!$C$16/'Támogatás szorzat tényezői'!$C$14)</f>
        <v>120000</v>
      </c>
      <c r="N38" s="98">
        <f t="shared" si="1"/>
        <v>0</v>
      </c>
      <c r="O38" s="120">
        <f t="shared" si="2"/>
        <v>0</v>
      </c>
      <c r="P38" s="325"/>
      <c r="Q38" s="249">
        <f t="shared" si="3"/>
        <v>0</v>
      </c>
      <c r="R38" s="326" t="str">
        <f t="shared" si="4"/>
        <v/>
      </c>
    </row>
    <row r="39" spans="1:18" ht="30" customHeight="1" x14ac:dyDescent="0.25">
      <c r="A39" s="227"/>
      <c r="B39" s="323" t="s">
        <v>1780</v>
      </c>
      <c r="C39" s="100"/>
      <c r="D39" s="100"/>
      <c r="E39" s="102"/>
      <c r="F39" s="100"/>
      <c r="G39" s="102"/>
      <c r="H39" s="97" t="str">
        <f>IFERROR(IF(E39="_2017_2018_ősz",VLOOKUP(F39,Háttértáblák!$L$2:$M$331,2,0),IF(E39="_2017_2018_keresztfélév",VLOOKUP(F39,Háttértáblák!$N$2:$O$326,2,0),IF(OR(E39="_2018_2019_ősz",E39="_2019_2020_ősz"),VLOOKUP(F39,Háttértáblák!$S$2:$T$334,2,0),VLOOKUP(F39,Háttértáblák!$U$2:$V$330,2,0)))),"")</f>
        <v/>
      </c>
      <c r="I39" s="97" t="str">
        <f t="shared" si="0"/>
        <v>_</v>
      </c>
      <c r="J39" s="97" t="e">
        <f>IF(#REF!="","",E39&amp;"_"&amp;IF(#REF!=0.5,"fél_év",#REF!))</f>
        <v>#REF!</v>
      </c>
      <c r="K39" s="97" t="str">
        <f>IF(E39="_2019_2020_ősz",VLOOKUP(F39,#REF!,4,0),IF(OR(E39="_2018_2019_ősz",E39="_2018_2019_keresztfélév"),VLOOKUP(F39,#REF!,4,0),IF(E39="_2017_2018_keresztfélév",VLOOKUP(F39,#REF!,4,0),IF(E39="_2017_2018_ősz",VLOOKUP(F39,#REF!,4,0),IF(OR(E39="_2016_2017_ősz",E39="_2016_2017_keresztfélév"),VLOOKUP(F39,#REF!,4,0),"HIBA!")))))</f>
        <v>HIBA!</v>
      </c>
      <c r="L39" s="143" t="e">
        <f>H39&amp;" "&amp;#REF!</f>
        <v>#REF!</v>
      </c>
      <c r="M39" s="136">
        <f>'Támogatás szorzat tényezői'!$C$19*('Támogatás szorzat tényezői'!$C$16/'Támogatás szorzat tényezői'!$C$14)</f>
        <v>120000</v>
      </c>
      <c r="N39" s="98">
        <f t="shared" si="1"/>
        <v>0</v>
      </c>
      <c r="O39" s="120">
        <f t="shared" si="2"/>
        <v>0</v>
      </c>
      <c r="P39" s="325"/>
      <c r="Q39" s="249">
        <f t="shared" si="3"/>
        <v>0</v>
      </c>
      <c r="R39" s="326" t="str">
        <f t="shared" si="4"/>
        <v/>
      </c>
    </row>
    <row r="40" spans="1:18" ht="30" customHeight="1" x14ac:dyDescent="0.25">
      <c r="A40" s="227"/>
      <c r="B40" s="323" t="s">
        <v>1780</v>
      </c>
      <c r="C40" s="100"/>
      <c r="D40" s="100"/>
      <c r="E40" s="102"/>
      <c r="F40" s="100"/>
      <c r="G40" s="102"/>
      <c r="H40" s="97" t="str">
        <f>IFERROR(IF(E40="_2017_2018_ősz",VLOOKUP(F40,Háttértáblák!$L$2:$M$331,2,0),IF(E40="_2017_2018_keresztfélév",VLOOKUP(F40,Háttértáblák!$N$2:$O$326,2,0),IF(OR(E40="_2018_2019_ősz",E40="_2019_2020_ősz"),VLOOKUP(F40,Háttértáblák!$S$2:$T$334,2,0),VLOOKUP(F40,Háttértáblák!$U$2:$V$330,2,0)))),"")</f>
        <v/>
      </c>
      <c r="I40" s="97" t="str">
        <f t="shared" si="0"/>
        <v>_</v>
      </c>
      <c r="J40" s="97" t="e">
        <f>IF(#REF!="","",E40&amp;"_"&amp;IF(#REF!=0.5,"fél_év",#REF!))</f>
        <v>#REF!</v>
      </c>
      <c r="K40" s="97" t="str">
        <f>IF(E40="_2019_2020_ősz",VLOOKUP(F40,#REF!,4,0),IF(OR(E40="_2018_2019_ősz",E40="_2018_2019_keresztfélév"),VLOOKUP(F40,#REF!,4,0),IF(E40="_2017_2018_keresztfélév",VLOOKUP(F40,#REF!,4,0),IF(E40="_2017_2018_ősz",VLOOKUP(F40,#REF!,4,0),IF(OR(E40="_2016_2017_ősz",E40="_2016_2017_keresztfélév"),VLOOKUP(F40,#REF!,4,0),"HIBA!")))))</f>
        <v>HIBA!</v>
      </c>
      <c r="L40" s="143" t="e">
        <f>H40&amp;" "&amp;#REF!</f>
        <v>#REF!</v>
      </c>
      <c r="M40" s="136">
        <f>'Támogatás szorzat tényezői'!$C$19*('Támogatás szorzat tényezői'!$C$16/'Támogatás szorzat tényezői'!$C$14)</f>
        <v>120000</v>
      </c>
      <c r="N40" s="98">
        <f t="shared" si="1"/>
        <v>0</v>
      </c>
      <c r="O40" s="120">
        <f t="shared" si="2"/>
        <v>0</v>
      </c>
      <c r="P40" s="325"/>
      <c r="Q40" s="249">
        <f t="shared" si="3"/>
        <v>0</v>
      </c>
      <c r="R40" s="326" t="str">
        <f t="shared" si="4"/>
        <v/>
      </c>
    </row>
    <row r="41" spans="1:18" ht="30" customHeight="1" x14ac:dyDescent="0.25">
      <c r="A41" s="227"/>
      <c r="B41" s="323" t="s">
        <v>1780</v>
      </c>
      <c r="C41" s="100"/>
      <c r="D41" s="100"/>
      <c r="E41" s="102"/>
      <c r="F41" s="100"/>
      <c r="G41" s="102"/>
      <c r="H41" s="97" t="str">
        <f>IFERROR(IF(E41="_2017_2018_ősz",VLOOKUP(F41,Háttértáblák!$L$2:$M$331,2,0),IF(E41="_2017_2018_keresztfélév",VLOOKUP(F41,Háttértáblák!$N$2:$O$326,2,0),IF(OR(E41="_2018_2019_ősz",E41="_2019_2020_ősz"),VLOOKUP(F41,Háttértáblák!$S$2:$T$334,2,0),VLOOKUP(F41,Háttértáblák!$U$2:$V$330,2,0)))),"")</f>
        <v/>
      </c>
      <c r="I41" s="97" t="str">
        <f t="shared" si="0"/>
        <v>_</v>
      </c>
      <c r="J41" s="97" t="e">
        <f>IF(#REF!="","",E41&amp;"_"&amp;IF(#REF!=0.5,"fél_év",#REF!))</f>
        <v>#REF!</v>
      </c>
      <c r="K41" s="97" t="str">
        <f>IF(E41="_2019_2020_ősz",VLOOKUP(F41,#REF!,4,0),IF(OR(E41="_2018_2019_ősz",E41="_2018_2019_keresztfélév"),VLOOKUP(F41,#REF!,4,0),IF(E41="_2017_2018_keresztfélév",VLOOKUP(F41,#REF!,4,0),IF(E41="_2017_2018_ősz",VLOOKUP(F41,#REF!,4,0),IF(OR(E41="_2016_2017_ősz",E41="_2016_2017_keresztfélév"),VLOOKUP(F41,#REF!,4,0),"HIBA!")))))</f>
        <v>HIBA!</v>
      </c>
      <c r="L41" s="143" t="e">
        <f>H41&amp;" "&amp;#REF!</f>
        <v>#REF!</v>
      </c>
      <c r="M41" s="136">
        <f>'Támogatás szorzat tényezői'!$C$19*('Támogatás szorzat tényezői'!$C$16/'Támogatás szorzat tényezői'!$C$14)</f>
        <v>120000</v>
      </c>
      <c r="N41" s="98">
        <f t="shared" si="1"/>
        <v>0</v>
      </c>
      <c r="O41" s="120">
        <f t="shared" si="2"/>
        <v>0</v>
      </c>
      <c r="P41" s="325"/>
      <c r="Q41" s="249">
        <f t="shared" si="3"/>
        <v>0</v>
      </c>
      <c r="R41" s="326" t="str">
        <f t="shared" si="4"/>
        <v/>
      </c>
    </row>
    <row r="42" spans="1:18" ht="30" customHeight="1" x14ac:dyDescent="0.25">
      <c r="A42" s="227"/>
      <c r="B42" s="323" t="s">
        <v>1780</v>
      </c>
      <c r="C42" s="100"/>
      <c r="D42" s="100"/>
      <c r="E42" s="102"/>
      <c r="F42" s="100"/>
      <c r="G42" s="102"/>
      <c r="H42" s="97" t="str">
        <f>IFERROR(IF(E42="_2017_2018_ősz",VLOOKUP(F42,Háttértáblák!$L$2:$M$331,2,0),IF(E42="_2017_2018_keresztfélév",VLOOKUP(F42,Háttértáblák!$N$2:$O$326,2,0),IF(OR(E42="_2018_2019_ősz",E42="_2019_2020_ősz"),VLOOKUP(F42,Háttértáblák!$S$2:$T$334,2,0),VLOOKUP(F42,Háttértáblák!$U$2:$V$330,2,0)))),"")</f>
        <v/>
      </c>
      <c r="I42" s="97" t="str">
        <f t="shared" si="0"/>
        <v>_</v>
      </c>
      <c r="J42" s="97" t="e">
        <f>IF(#REF!="","",E42&amp;"_"&amp;IF(#REF!=0.5,"fél_év",#REF!))</f>
        <v>#REF!</v>
      </c>
      <c r="K42" s="97" t="str">
        <f>IF(E42="_2019_2020_ősz",VLOOKUP(F42,#REF!,4,0),IF(OR(E42="_2018_2019_ősz",E42="_2018_2019_keresztfélév"),VLOOKUP(F42,#REF!,4,0),IF(E42="_2017_2018_keresztfélév",VLOOKUP(F42,#REF!,4,0),IF(E42="_2017_2018_ősz",VLOOKUP(F42,#REF!,4,0),IF(OR(E42="_2016_2017_ősz",E42="_2016_2017_keresztfélév"),VLOOKUP(F42,#REF!,4,0),"HIBA!")))))</f>
        <v>HIBA!</v>
      </c>
      <c r="L42" s="143" t="e">
        <f>H42&amp;" "&amp;#REF!</f>
        <v>#REF!</v>
      </c>
      <c r="M42" s="136">
        <f>'Támogatás szorzat tényezői'!$C$19*('Támogatás szorzat tényezői'!$C$16/'Támogatás szorzat tényezői'!$C$14)</f>
        <v>120000</v>
      </c>
      <c r="N42" s="98">
        <f t="shared" si="1"/>
        <v>0</v>
      </c>
      <c r="O42" s="120">
        <f t="shared" si="2"/>
        <v>0</v>
      </c>
      <c r="P42" s="325"/>
      <c r="Q42" s="249">
        <f t="shared" si="3"/>
        <v>0</v>
      </c>
      <c r="R42" s="326" t="str">
        <f t="shared" si="4"/>
        <v/>
      </c>
    </row>
    <row r="43" spans="1:18" ht="30" customHeight="1" x14ac:dyDescent="0.25">
      <c r="A43" s="227"/>
      <c r="B43" s="323" t="s">
        <v>1780</v>
      </c>
      <c r="C43" s="100"/>
      <c r="D43" s="100"/>
      <c r="E43" s="102"/>
      <c r="F43" s="100"/>
      <c r="G43" s="102"/>
      <c r="H43" s="97" t="str">
        <f>IFERROR(IF(E43="_2017_2018_ősz",VLOOKUP(F43,Háttértáblák!$L$2:$M$331,2,0),IF(E43="_2017_2018_keresztfélév",VLOOKUP(F43,Háttértáblák!$N$2:$O$326,2,0),IF(OR(E43="_2018_2019_ősz",E43="_2019_2020_ősz"),VLOOKUP(F43,Háttértáblák!$S$2:$T$334,2,0),VLOOKUP(F43,Háttértáblák!$U$2:$V$330,2,0)))),"")</f>
        <v/>
      </c>
      <c r="I43" s="97" t="str">
        <f t="shared" si="0"/>
        <v>_</v>
      </c>
      <c r="J43" s="97" t="e">
        <f>IF(#REF!="","",E43&amp;"_"&amp;IF(#REF!=0.5,"fél_év",#REF!))</f>
        <v>#REF!</v>
      </c>
      <c r="K43" s="97" t="str">
        <f>IF(E43="_2019_2020_ősz",VLOOKUP(F43,#REF!,4,0),IF(OR(E43="_2018_2019_ősz",E43="_2018_2019_keresztfélév"),VLOOKUP(F43,#REF!,4,0),IF(E43="_2017_2018_keresztfélév",VLOOKUP(F43,#REF!,4,0),IF(E43="_2017_2018_ősz",VLOOKUP(F43,#REF!,4,0),IF(OR(E43="_2016_2017_ősz",E43="_2016_2017_keresztfélév"),VLOOKUP(F43,#REF!,4,0),"HIBA!")))))</f>
        <v>HIBA!</v>
      </c>
      <c r="L43" s="143" t="e">
        <f>H43&amp;" "&amp;#REF!</f>
        <v>#REF!</v>
      </c>
      <c r="M43" s="136">
        <f>'Támogatás szorzat tényezői'!$C$19*('Támogatás szorzat tényezői'!$C$16/'Támogatás szorzat tényezői'!$C$14)</f>
        <v>120000</v>
      </c>
      <c r="N43" s="98">
        <f t="shared" si="1"/>
        <v>0</v>
      </c>
      <c r="O43" s="120">
        <f t="shared" si="2"/>
        <v>0</v>
      </c>
      <c r="P43" s="325"/>
      <c r="Q43" s="249">
        <f t="shared" si="3"/>
        <v>0</v>
      </c>
      <c r="R43" s="326" t="str">
        <f t="shared" si="4"/>
        <v/>
      </c>
    </row>
    <row r="44" spans="1:18" ht="30" customHeight="1" x14ac:dyDescent="0.25">
      <c r="A44" s="227"/>
      <c r="B44" s="323" t="s">
        <v>1780</v>
      </c>
      <c r="C44" s="100"/>
      <c r="D44" s="100"/>
      <c r="E44" s="102"/>
      <c r="F44" s="100"/>
      <c r="G44" s="102"/>
      <c r="H44" s="97" t="str">
        <f>IFERROR(IF(E44="_2017_2018_ősz",VLOOKUP(F44,Háttértáblák!$L$2:$M$331,2,0),IF(E44="_2017_2018_keresztfélév",VLOOKUP(F44,Háttértáblák!$N$2:$O$326,2,0),IF(OR(E44="_2018_2019_ősz",E44="_2019_2020_ősz"),VLOOKUP(F44,Háttértáblák!$S$2:$T$334,2,0),VLOOKUP(F44,Háttértáblák!$U$2:$V$330,2,0)))),"")</f>
        <v/>
      </c>
      <c r="I44" s="97" t="str">
        <f t="shared" si="0"/>
        <v>_</v>
      </c>
      <c r="J44" s="97" t="e">
        <f>IF(#REF!="","",E44&amp;"_"&amp;IF(#REF!=0.5,"fél_év",#REF!))</f>
        <v>#REF!</v>
      </c>
      <c r="K44" s="97" t="str">
        <f>IF(E44="_2019_2020_ősz",VLOOKUP(F44,#REF!,4,0),IF(OR(E44="_2018_2019_ősz",E44="_2018_2019_keresztfélév"),VLOOKUP(F44,#REF!,4,0),IF(E44="_2017_2018_keresztfélév",VLOOKUP(F44,#REF!,4,0),IF(E44="_2017_2018_ősz",VLOOKUP(F44,#REF!,4,0),IF(OR(E44="_2016_2017_ősz",E44="_2016_2017_keresztfélév"),VLOOKUP(F44,#REF!,4,0),"HIBA!")))))</f>
        <v>HIBA!</v>
      </c>
      <c r="L44" s="143" t="e">
        <f>H44&amp;" "&amp;#REF!</f>
        <v>#REF!</v>
      </c>
      <c r="M44" s="136">
        <f>'Támogatás szorzat tényezői'!$C$19*('Támogatás szorzat tényezői'!$C$16/'Támogatás szorzat tényezői'!$C$14)</f>
        <v>120000</v>
      </c>
      <c r="N44" s="98">
        <f t="shared" si="1"/>
        <v>0</v>
      </c>
      <c r="O44" s="120">
        <f t="shared" si="2"/>
        <v>0</v>
      </c>
      <c r="P44" s="325"/>
      <c r="Q44" s="249">
        <f t="shared" si="3"/>
        <v>0</v>
      </c>
      <c r="R44" s="326" t="str">
        <f t="shared" si="4"/>
        <v/>
      </c>
    </row>
    <row r="45" spans="1:18" ht="30" customHeight="1" x14ac:dyDescent="0.25">
      <c r="A45" s="227"/>
      <c r="B45" s="323" t="s">
        <v>1780</v>
      </c>
      <c r="C45" s="100"/>
      <c r="D45" s="100"/>
      <c r="E45" s="102"/>
      <c r="F45" s="100"/>
      <c r="G45" s="102"/>
      <c r="H45" s="97" t="str">
        <f>IFERROR(IF(E45="_2017_2018_ősz",VLOOKUP(F45,Háttértáblák!$L$2:$M$331,2,0),IF(E45="_2017_2018_keresztfélév",VLOOKUP(F45,Háttértáblák!$N$2:$O$326,2,0),IF(OR(E45="_2018_2019_ősz",E45="_2019_2020_ősz"),VLOOKUP(F45,Háttértáblák!$S$2:$T$334,2,0),VLOOKUP(F45,Háttértáblák!$U$2:$V$330,2,0)))),"")</f>
        <v/>
      </c>
      <c r="I45" s="97" t="str">
        <f t="shared" si="0"/>
        <v>_</v>
      </c>
      <c r="J45" s="97" t="e">
        <f>IF(#REF!="","",E45&amp;"_"&amp;IF(#REF!=0.5,"fél_év",#REF!))</f>
        <v>#REF!</v>
      </c>
      <c r="K45" s="97" t="str">
        <f>IF(E45="_2019_2020_ősz",VLOOKUP(F45,#REF!,4,0),IF(OR(E45="_2018_2019_ősz",E45="_2018_2019_keresztfélév"),VLOOKUP(F45,#REF!,4,0),IF(E45="_2017_2018_keresztfélév",VLOOKUP(F45,#REF!,4,0),IF(E45="_2017_2018_ősz",VLOOKUP(F45,#REF!,4,0),IF(OR(E45="_2016_2017_ősz",E45="_2016_2017_keresztfélév"),VLOOKUP(F45,#REF!,4,0),"HIBA!")))))</f>
        <v>HIBA!</v>
      </c>
      <c r="L45" s="143" t="e">
        <f>H45&amp;" "&amp;#REF!</f>
        <v>#REF!</v>
      </c>
      <c r="M45" s="136">
        <f>'Támogatás szorzat tényezői'!$C$19*('Támogatás szorzat tényezői'!$C$16/'Támogatás szorzat tényezői'!$C$14)</f>
        <v>120000</v>
      </c>
      <c r="N45" s="98">
        <f t="shared" si="1"/>
        <v>0</v>
      </c>
      <c r="O45" s="120">
        <f t="shared" si="2"/>
        <v>0</v>
      </c>
      <c r="P45" s="325"/>
      <c r="Q45" s="249">
        <f t="shared" si="3"/>
        <v>0</v>
      </c>
      <c r="R45" s="326" t="str">
        <f t="shared" si="4"/>
        <v/>
      </c>
    </row>
    <row r="46" spans="1:18" ht="30" customHeight="1" x14ac:dyDescent="0.25">
      <c r="A46" s="227"/>
      <c r="B46" s="323" t="s">
        <v>1780</v>
      </c>
      <c r="C46" s="100"/>
      <c r="D46" s="100"/>
      <c r="E46" s="102"/>
      <c r="F46" s="100"/>
      <c r="G46" s="102"/>
      <c r="H46" s="97" t="str">
        <f>IFERROR(IF(E46="_2017_2018_ősz",VLOOKUP(F46,Háttértáblák!$L$2:$M$331,2,0),IF(E46="_2017_2018_keresztfélév",VLOOKUP(F46,Háttértáblák!$N$2:$O$326,2,0),IF(OR(E46="_2018_2019_ősz",E46="_2019_2020_ősz"),VLOOKUP(F46,Háttértáblák!$S$2:$T$334,2,0),VLOOKUP(F46,Háttértáblák!$U$2:$V$330,2,0)))),"")</f>
        <v/>
      </c>
      <c r="I46" s="97" t="str">
        <f t="shared" si="0"/>
        <v>_</v>
      </c>
      <c r="J46" s="97" t="e">
        <f>IF(#REF!="","",E46&amp;"_"&amp;IF(#REF!=0.5,"fél_év",#REF!))</f>
        <v>#REF!</v>
      </c>
      <c r="K46" s="97" t="str">
        <f>IF(E46="_2019_2020_ősz",VLOOKUP(F46,#REF!,4,0),IF(OR(E46="_2018_2019_ősz",E46="_2018_2019_keresztfélév"),VLOOKUP(F46,#REF!,4,0),IF(E46="_2017_2018_keresztfélév",VLOOKUP(F46,#REF!,4,0),IF(E46="_2017_2018_ősz",VLOOKUP(F46,#REF!,4,0),IF(OR(E46="_2016_2017_ősz",E46="_2016_2017_keresztfélév"),VLOOKUP(F46,#REF!,4,0),"HIBA!")))))</f>
        <v>HIBA!</v>
      </c>
      <c r="L46" s="143" t="e">
        <f>H46&amp;" "&amp;#REF!</f>
        <v>#REF!</v>
      </c>
      <c r="M46" s="136">
        <f>'Támogatás szorzat tényezői'!$C$19*('Támogatás szorzat tényezői'!$C$16/'Támogatás szorzat tényezői'!$C$14)</f>
        <v>120000</v>
      </c>
      <c r="N46" s="98">
        <f t="shared" si="1"/>
        <v>0</v>
      </c>
      <c r="O46" s="120">
        <f t="shared" si="2"/>
        <v>0</v>
      </c>
      <c r="P46" s="325"/>
      <c r="Q46" s="249">
        <f t="shared" si="3"/>
        <v>0</v>
      </c>
      <c r="R46" s="326" t="str">
        <f t="shared" si="4"/>
        <v/>
      </c>
    </row>
    <row r="47" spans="1:18" ht="30" customHeight="1" x14ac:dyDescent="0.25">
      <c r="A47" s="227"/>
      <c r="B47" s="323" t="s">
        <v>1780</v>
      </c>
      <c r="C47" s="100"/>
      <c r="D47" s="100"/>
      <c r="E47" s="102"/>
      <c r="F47" s="100"/>
      <c r="G47" s="102"/>
      <c r="H47" s="97" t="str">
        <f>IFERROR(IF(E47="_2017_2018_ősz",VLOOKUP(F47,Háttértáblák!$L$2:$M$331,2,0),IF(E47="_2017_2018_keresztfélév",VLOOKUP(F47,Háttértáblák!$N$2:$O$326,2,0),IF(OR(E47="_2018_2019_ősz",E47="_2019_2020_ősz"),VLOOKUP(F47,Háttértáblák!$S$2:$T$334,2,0),VLOOKUP(F47,Háttértáblák!$U$2:$V$330,2,0)))),"")</f>
        <v/>
      </c>
      <c r="I47" s="97" t="str">
        <f t="shared" si="0"/>
        <v>_</v>
      </c>
      <c r="J47" s="97" t="e">
        <f>IF(#REF!="","",E47&amp;"_"&amp;IF(#REF!=0.5,"fél_év",#REF!))</f>
        <v>#REF!</v>
      </c>
      <c r="K47" s="97" t="str">
        <f>IF(E47="_2019_2020_ősz",VLOOKUP(F47,#REF!,4,0),IF(OR(E47="_2018_2019_ősz",E47="_2018_2019_keresztfélév"),VLOOKUP(F47,#REF!,4,0),IF(E47="_2017_2018_keresztfélév",VLOOKUP(F47,#REF!,4,0),IF(E47="_2017_2018_ősz",VLOOKUP(F47,#REF!,4,0),IF(OR(E47="_2016_2017_ősz",E47="_2016_2017_keresztfélév"),VLOOKUP(F47,#REF!,4,0),"HIBA!")))))</f>
        <v>HIBA!</v>
      </c>
      <c r="L47" s="143" t="e">
        <f>H47&amp;" "&amp;#REF!</f>
        <v>#REF!</v>
      </c>
      <c r="M47" s="136">
        <f>'Támogatás szorzat tényezői'!$C$19*('Támogatás szorzat tényezői'!$C$16/'Támogatás szorzat tényezői'!$C$14)</f>
        <v>120000</v>
      </c>
      <c r="N47" s="98">
        <f t="shared" si="1"/>
        <v>0</v>
      </c>
      <c r="O47" s="120">
        <f t="shared" si="2"/>
        <v>0</v>
      </c>
      <c r="P47" s="325"/>
      <c r="Q47" s="249">
        <f t="shared" si="3"/>
        <v>0</v>
      </c>
      <c r="R47" s="326" t="str">
        <f t="shared" si="4"/>
        <v/>
      </c>
    </row>
    <row r="48" spans="1:18" ht="30" customHeight="1" x14ac:dyDescent="0.25">
      <c r="A48" s="227"/>
      <c r="B48" s="323" t="s">
        <v>1780</v>
      </c>
      <c r="C48" s="100"/>
      <c r="D48" s="100"/>
      <c r="E48" s="102"/>
      <c r="F48" s="100"/>
      <c r="G48" s="102"/>
      <c r="H48" s="97" t="str">
        <f>IFERROR(IF(E48="_2017_2018_ősz",VLOOKUP(F48,Háttértáblák!$L$2:$M$331,2,0),IF(E48="_2017_2018_keresztfélév",VLOOKUP(F48,Háttértáblák!$N$2:$O$326,2,0),IF(OR(E48="_2018_2019_ősz",E48="_2019_2020_ősz"),VLOOKUP(F48,Háttértáblák!$S$2:$T$334,2,0),VLOOKUP(F48,Háttértáblák!$U$2:$V$330,2,0)))),"")</f>
        <v/>
      </c>
      <c r="I48" s="97" t="str">
        <f t="shared" si="0"/>
        <v>_</v>
      </c>
      <c r="J48" s="97" t="e">
        <f>IF(#REF!="","",E48&amp;"_"&amp;IF(#REF!=0.5,"fél_év",#REF!))</f>
        <v>#REF!</v>
      </c>
      <c r="K48" s="97" t="str">
        <f>IF(E48="_2019_2020_ősz",VLOOKUP(F48,#REF!,4,0),IF(OR(E48="_2018_2019_ősz",E48="_2018_2019_keresztfélév"),VLOOKUP(F48,#REF!,4,0),IF(E48="_2017_2018_keresztfélév",VLOOKUP(F48,#REF!,4,0),IF(E48="_2017_2018_ősz",VLOOKUP(F48,#REF!,4,0),IF(OR(E48="_2016_2017_ősz",E48="_2016_2017_keresztfélév"),VLOOKUP(F48,#REF!,4,0),"HIBA!")))))</f>
        <v>HIBA!</v>
      </c>
      <c r="L48" s="143" t="e">
        <f>H48&amp;" "&amp;#REF!</f>
        <v>#REF!</v>
      </c>
      <c r="M48" s="136">
        <f>'Támogatás szorzat tényezői'!$C$19*('Támogatás szorzat tényezői'!$C$16/'Támogatás szorzat tényezői'!$C$14)</f>
        <v>120000</v>
      </c>
      <c r="N48" s="98">
        <f t="shared" si="1"/>
        <v>0</v>
      </c>
      <c r="O48" s="120">
        <f t="shared" si="2"/>
        <v>0</v>
      </c>
      <c r="P48" s="325"/>
      <c r="Q48" s="249">
        <f t="shared" si="3"/>
        <v>0</v>
      </c>
      <c r="R48" s="326" t="str">
        <f t="shared" si="4"/>
        <v/>
      </c>
    </row>
    <row r="49" spans="1:18" ht="30" customHeight="1" x14ac:dyDescent="0.25">
      <c r="A49" s="227"/>
      <c r="B49" s="323" t="s">
        <v>1780</v>
      </c>
      <c r="C49" s="100"/>
      <c r="D49" s="100"/>
      <c r="E49" s="102"/>
      <c r="F49" s="100"/>
      <c r="G49" s="102"/>
      <c r="H49" s="97" t="str">
        <f>IFERROR(IF(E49="_2017_2018_ősz",VLOOKUP(F49,Háttértáblák!$L$2:$M$331,2,0),IF(E49="_2017_2018_keresztfélév",VLOOKUP(F49,Háttértáblák!$N$2:$O$326,2,0),IF(OR(E49="_2018_2019_ősz",E49="_2019_2020_ősz"),VLOOKUP(F49,Háttértáblák!$S$2:$T$334,2,0),VLOOKUP(F49,Háttértáblák!$U$2:$V$330,2,0)))),"")</f>
        <v/>
      </c>
      <c r="I49" s="97" t="str">
        <f t="shared" si="0"/>
        <v>_</v>
      </c>
      <c r="J49" s="97" t="e">
        <f>IF(#REF!="","",E49&amp;"_"&amp;IF(#REF!=0.5,"fél_év",#REF!))</f>
        <v>#REF!</v>
      </c>
      <c r="K49" s="97" t="str">
        <f>IF(E49="_2019_2020_ősz",VLOOKUP(F49,#REF!,4,0),IF(OR(E49="_2018_2019_ősz",E49="_2018_2019_keresztfélév"),VLOOKUP(F49,#REF!,4,0),IF(E49="_2017_2018_keresztfélév",VLOOKUP(F49,#REF!,4,0),IF(E49="_2017_2018_ősz",VLOOKUP(F49,#REF!,4,0),IF(OR(E49="_2016_2017_ősz",E49="_2016_2017_keresztfélév"),VLOOKUP(F49,#REF!,4,0),"HIBA!")))))</f>
        <v>HIBA!</v>
      </c>
      <c r="L49" s="143" t="e">
        <f>H49&amp;" "&amp;#REF!</f>
        <v>#REF!</v>
      </c>
      <c r="M49" s="136">
        <f>'Támogatás szorzat tényezői'!$C$19*('Támogatás szorzat tényezői'!$C$16/'Támogatás szorzat tényezői'!$C$14)</f>
        <v>120000</v>
      </c>
      <c r="N49" s="98">
        <f t="shared" si="1"/>
        <v>0</v>
      </c>
      <c r="O49" s="120">
        <f t="shared" si="2"/>
        <v>0</v>
      </c>
      <c r="P49" s="325"/>
      <c r="Q49" s="249">
        <f t="shared" si="3"/>
        <v>0</v>
      </c>
      <c r="R49" s="326" t="str">
        <f t="shared" si="4"/>
        <v/>
      </c>
    </row>
    <row r="50" spans="1:18" ht="30" customHeight="1" x14ac:dyDescent="0.25">
      <c r="A50" s="227"/>
      <c r="B50" s="323" t="s">
        <v>1780</v>
      </c>
      <c r="C50" s="100"/>
      <c r="D50" s="100"/>
      <c r="E50" s="102"/>
      <c r="F50" s="100"/>
      <c r="G50" s="102"/>
      <c r="H50" s="97" t="str">
        <f>IFERROR(IF(E50="_2017_2018_ősz",VLOOKUP(F50,Háttértáblák!$L$2:$M$331,2,0),IF(E50="_2017_2018_keresztfélév",VLOOKUP(F50,Háttértáblák!$N$2:$O$326,2,0),IF(OR(E50="_2018_2019_ősz",E50="_2019_2020_ősz"),VLOOKUP(F50,Háttértáblák!$S$2:$T$334,2,0),VLOOKUP(F50,Háttértáblák!$U$2:$V$330,2,0)))),"")</f>
        <v/>
      </c>
      <c r="I50" s="97" t="str">
        <f t="shared" si="0"/>
        <v>_</v>
      </c>
      <c r="J50" s="97" t="e">
        <f>IF(#REF!="","",E50&amp;"_"&amp;IF(#REF!=0.5,"fél_év",#REF!))</f>
        <v>#REF!</v>
      </c>
      <c r="K50" s="97" t="str">
        <f>IF(E50="_2019_2020_ősz",VLOOKUP(F50,#REF!,4,0),IF(OR(E50="_2018_2019_ősz",E50="_2018_2019_keresztfélév"),VLOOKUP(F50,#REF!,4,0),IF(E50="_2017_2018_keresztfélév",VLOOKUP(F50,#REF!,4,0),IF(E50="_2017_2018_ősz",VLOOKUP(F50,#REF!,4,0),IF(OR(E50="_2016_2017_ősz",E50="_2016_2017_keresztfélév"),VLOOKUP(F50,#REF!,4,0),"HIBA!")))))</f>
        <v>HIBA!</v>
      </c>
      <c r="L50" s="143" t="e">
        <f>H50&amp;" "&amp;#REF!</f>
        <v>#REF!</v>
      </c>
      <c r="M50" s="136">
        <f>'Támogatás szorzat tényezői'!$C$19*('Támogatás szorzat tényezői'!$C$16/'Támogatás szorzat tényezői'!$C$14)</f>
        <v>120000</v>
      </c>
      <c r="N50" s="98">
        <f t="shared" si="1"/>
        <v>0</v>
      </c>
      <c r="O50" s="120">
        <f t="shared" si="2"/>
        <v>0</v>
      </c>
      <c r="P50" s="325"/>
      <c r="Q50" s="249">
        <f t="shared" si="3"/>
        <v>0</v>
      </c>
      <c r="R50" s="326" t="str">
        <f t="shared" si="4"/>
        <v/>
      </c>
    </row>
    <row r="51" spans="1:18" ht="30" customHeight="1" x14ac:dyDescent="0.25">
      <c r="A51" s="227"/>
      <c r="B51" s="323" t="s">
        <v>1780</v>
      </c>
      <c r="C51" s="100"/>
      <c r="D51" s="100"/>
      <c r="E51" s="102"/>
      <c r="F51" s="100"/>
      <c r="G51" s="102"/>
      <c r="H51" s="97" t="str">
        <f>IFERROR(IF(E51="_2017_2018_ősz",VLOOKUP(F51,Háttértáblák!$L$2:$M$331,2,0),IF(E51="_2017_2018_keresztfélév",VLOOKUP(F51,Háttértáblák!$N$2:$O$326,2,0),IF(OR(E51="_2018_2019_ősz",E51="_2019_2020_ősz"),VLOOKUP(F51,Háttértáblák!$S$2:$T$334,2,0),VLOOKUP(F51,Háttértáblák!$U$2:$V$330,2,0)))),"")</f>
        <v/>
      </c>
      <c r="I51" s="97" t="str">
        <f t="shared" si="0"/>
        <v>_</v>
      </c>
      <c r="J51" s="97" t="e">
        <f>IF(#REF!="","",E51&amp;"_"&amp;IF(#REF!=0.5,"fél_év",#REF!))</f>
        <v>#REF!</v>
      </c>
      <c r="K51" s="97" t="str">
        <f>IF(E51="_2019_2020_ősz",VLOOKUP(F51,#REF!,4,0),IF(OR(E51="_2018_2019_ősz",E51="_2018_2019_keresztfélév"),VLOOKUP(F51,#REF!,4,0),IF(E51="_2017_2018_keresztfélév",VLOOKUP(F51,#REF!,4,0),IF(E51="_2017_2018_ősz",VLOOKUP(F51,#REF!,4,0),IF(OR(E51="_2016_2017_ősz",E51="_2016_2017_keresztfélév"),VLOOKUP(F51,#REF!,4,0),"HIBA!")))))</f>
        <v>HIBA!</v>
      </c>
      <c r="L51" s="143" t="e">
        <f>H51&amp;" "&amp;#REF!</f>
        <v>#REF!</v>
      </c>
      <c r="M51" s="136">
        <f>'Támogatás szorzat tényezői'!$C$19*('Támogatás szorzat tényezői'!$C$16/'Támogatás szorzat tényezői'!$C$14)</f>
        <v>120000</v>
      </c>
      <c r="N51" s="98">
        <f t="shared" si="1"/>
        <v>0</v>
      </c>
      <c r="O51" s="120">
        <f t="shared" si="2"/>
        <v>0</v>
      </c>
      <c r="P51" s="325"/>
      <c r="Q51" s="249">
        <f t="shared" si="3"/>
        <v>0</v>
      </c>
      <c r="R51" s="326" t="str">
        <f t="shared" si="4"/>
        <v/>
      </c>
    </row>
    <row r="52" spans="1:18" ht="30" customHeight="1" x14ac:dyDescent="0.25">
      <c r="A52" s="227"/>
      <c r="B52" s="323" t="s">
        <v>1780</v>
      </c>
      <c r="C52" s="100"/>
      <c r="D52" s="100"/>
      <c r="E52" s="102"/>
      <c r="F52" s="100"/>
      <c r="G52" s="102"/>
      <c r="H52" s="97" t="str">
        <f>IFERROR(IF(E52="_2017_2018_ősz",VLOOKUP(F52,Háttértáblák!$L$2:$M$331,2,0),IF(E52="_2017_2018_keresztfélév",VLOOKUP(F52,Háttértáblák!$N$2:$O$326,2,0),IF(OR(E52="_2018_2019_ősz",E52="_2019_2020_ősz"),VLOOKUP(F52,Háttértáblák!$S$2:$T$334,2,0),VLOOKUP(F52,Háttértáblák!$U$2:$V$330,2,0)))),"")</f>
        <v/>
      </c>
      <c r="I52" s="97" t="str">
        <f t="shared" si="0"/>
        <v>_</v>
      </c>
      <c r="J52" s="97" t="e">
        <f>IF(#REF!="","",E52&amp;"_"&amp;IF(#REF!=0.5,"fél_év",#REF!))</f>
        <v>#REF!</v>
      </c>
      <c r="K52" s="97" t="str">
        <f>IF(E52="_2019_2020_ősz",VLOOKUP(F52,#REF!,4,0),IF(OR(E52="_2018_2019_ősz",E52="_2018_2019_keresztfélév"),VLOOKUP(F52,#REF!,4,0),IF(E52="_2017_2018_keresztfélév",VLOOKUP(F52,#REF!,4,0),IF(E52="_2017_2018_ősz",VLOOKUP(F52,#REF!,4,0),IF(OR(E52="_2016_2017_ősz",E52="_2016_2017_keresztfélév"),VLOOKUP(F52,#REF!,4,0),"HIBA!")))))</f>
        <v>HIBA!</v>
      </c>
      <c r="L52" s="143" t="e">
        <f>H52&amp;" "&amp;#REF!</f>
        <v>#REF!</v>
      </c>
      <c r="M52" s="136">
        <f>'Támogatás szorzat tényezői'!$C$19*('Támogatás szorzat tényezői'!$C$16/'Támogatás szorzat tényezői'!$C$14)</f>
        <v>120000</v>
      </c>
      <c r="N52" s="98">
        <f t="shared" si="1"/>
        <v>0</v>
      </c>
      <c r="O52" s="120">
        <f t="shared" si="2"/>
        <v>0</v>
      </c>
      <c r="P52" s="325"/>
      <c r="Q52" s="249">
        <f t="shared" si="3"/>
        <v>0</v>
      </c>
      <c r="R52" s="326" t="str">
        <f t="shared" si="4"/>
        <v/>
      </c>
    </row>
    <row r="53" spans="1:18" ht="30" customHeight="1" x14ac:dyDescent="0.25">
      <c r="A53" s="227"/>
      <c r="B53" s="323" t="s">
        <v>1780</v>
      </c>
      <c r="C53" s="100"/>
      <c r="D53" s="100"/>
      <c r="E53" s="102"/>
      <c r="F53" s="100"/>
      <c r="G53" s="102"/>
      <c r="H53" s="97" t="str">
        <f>IFERROR(IF(E53="_2017_2018_ősz",VLOOKUP(F53,Háttértáblák!$L$2:$M$331,2,0),IF(E53="_2017_2018_keresztfélév",VLOOKUP(F53,Háttértáblák!$N$2:$O$326,2,0),IF(OR(E53="_2018_2019_ősz",E53="_2019_2020_ősz"),VLOOKUP(F53,Háttértáblák!$S$2:$T$334,2,0),VLOOKUP(F53,Háttértáblák!$U$2:$V$330,2,0)))),"")</f>
        <v/>
      </c>
      <c r="I53" s="97" t="str">
        <f t="shared" si="0"/>
        <v>_</v>
      </c>
      <c r="J53" s="97" t="e">
        <f>IF(#REF!="","",E53&amp;"_"&amp;IF(#REF!=0.5,"fél_év",#REF!))</f>
        <v>#REF!</v>
      </c>
      <c r="K53" s="97" t="str">
        <f>IF(E53="_2019_2020_ősz",VLOOKUP(F53,#REF!,4,0),IF(OR(E53="_2018_2019_ősz",E53="_2018_2019_keresztfélév"),VLOOKUP(F53,#REF!,4,0),IF(E53="_2017_2018_keresztfélév",VLOOKUP(F53,#REF!,4,0),IF(E53="_2017_2018_ősz",VLOOKUP(F53,#REF!,4,0),IF(OR(E53="_2016_2017_ősz",E53="_2016_2017_keresztfélév"),VLOOKUP(F53,#REF!,4,0),"HIBA!")))))</f>
        <v>HIBA!</v>
      </c>
      <c r="L53" s="143" t="e">
        <f>H53&amp;" "&amp;#REF!</f>
        <v>#REF!</v>
      </c>
      <c r="M53" s="136">
        <f>'Támogatás szorzat tényezői'!$C$19*('Támogatás szorzat tényezői'!$C$16/'Támogatás szorzat tényezői'!$C$14)</f>
        <v>120000</v>
      </c>
      <c r="N53" s="98">
        <f t="shared" si="1"/>
        <v>0</v>
      </c>
      <c r="O53" s="120">
        <f t="shared" si="2"/>
        <v>0</v>
      </c>
      <c r="P53" s="325"/>
      <c r="Q53" s="249">
        <f t="shared" si="3"/>
        <v>0</v>
      </c>
      <c r="R53" s="326" t="str">
        <f t="shared" si="4"/>
        <v/>
      </c>
    </row>
    <row r="54" spans="1:18" ht="30" customHeight="1" x14ac:dyDescent="0.25">
      <c r="A54" s="227"/>
      <c r="B54" s="323" t="s">
        <v>1780</v>
      </c>
      <c r="C54" s="100"/>
      <c r="D54" s="100"/>
      <c r="E54" s="102"/>
      <c r="F54" s="100"/>
      <c r="G54" s="102"/>
      <c r="H54" s="97" t="str">
        <f>IFERROR(IF(E54="_2017_2018_ősz",VLOOKUP(F54,Háttértáblák!$L$2:$M$331,2,0),IF(E54="_2017_2018_keresztfélév",VLOOKUP(F54,Háttértáblák!$N$2:$O$326,2,0),IF(OR(E54="_2018_2019_ősz",E54="_2019_2020_ősz"),VLOOKUP(F54,Háttértáblák!$S$2:$T$334,2,0),VLOOKUP(F54,Háttértáblák!$U$2:$V$330,2,0)))),"")</f>
        <v/>
      </c>
      <c r="I54" s="97" t="str">
        <f t="shared" si="0"/>
        <v>_</v>
      </c>
      <c r="J54" s="97" t="e">
        <f>IF(#REF!="","",E54&amp;"_"&amp;IF(#REF!=0.5,"fél_év",#REF!))</f>
        <v>#REF!</v>
      </c>
      <c r="K54" s="97" t="str">
        <f>IF(E54="_2019_2020_ősz",VLOOKUP(F54,#REF!,4,0),IF(OR(E54="_2018_2019_ősz",E54="_2018_2019_keresztfélév"),VLOOKUP(F54,#REF!,4,0),IF(E54="_2017_2018_keresztfélév",VLOOKUP(F54,#REF!,4,0),IF(E54="_2017_2018_ősz",VLOOKUP(F54,#REF!,4,0),IF(OR(E54="_2016_2017_ősz",E54="_2016_2017_keresztfélév"),VLOOKUP(F54,#REF!,4,0),"HIBA!")))))</f>
        <v>HIBA!</v>
      </c>
      <c r="L54" s="143" t="e">
        <f>H54&amp;" "&amp;#REF!</f>
        <v>#REF!</v>
      </c>
      <c r="M54" s="136">
        <f>'Támogatás szorzat tényezői'!$C$19*('Támogatás szorzat tényezői'!$C$16/'Támogatás szorzat tényezői'!$C$14)</f>
        <v>120000</v>
      </c>
      <c r="N54" s="98">
        <f t="shared" si="1"/>
        <v>0</v>
      </c>
      <c r="O54" s="120">
        <f t="shared" si="2"/>
        <v>0</v>
      </c>
      <c r="P54" s="325"/>
      <c r="Q54" s="249">
        <f t="shared" si="3"/>
        <v>0</v>
      </c>
      <c r="R54" s="326" t="str">
        <f t="shared" si="4"/>
        <v/>
      </c>
    </row>
    <row r="55" spans="1:18" ht="30" customHeight="1" x14ac:dyDescent="0.25">
      <c r="A55" s="227"/>
      <c r="B55" s="323" t="s">
        <v>1780</v>
      </c>
      <c r="C55" s="100"/>
      <c r="D55" s="100"/>
      <c r="E55" s="102"/>
      <c r="F55" s="100"/>
      <c r="G55" s="102"/>
      <c r="H55" s="97" t="str">
        <f>IFERROR(IF(E55="_2017_2018_ősz",VLOOKUP(F55,Háttértáblák!$L$2:$M$331,2,0),IF(E55="_2017_2018_keresztfélév",VLOOKUP(F55,Háttértáblák!$N$2:$O$326,2,0),IF(OR(E55="_2018_2019_ősz",E55="_2019_2020_ősz"),VLOOKUP(F55,Háttértáblák!$S$2:$T$334,2,0),VLOOKUP(F55,Háttértáblák!$U$2:$V$330,2,0)))),"")</f>
        <v/>
      </c>
      <c r="I55" s="97" t="str">
        <f t="shared" si="0"/>
        <v>_</v>
      </c>
      <c r="J55" s="97" t="e">
        <f>IF(#REF!="","",E55&amp;"_"&amp;IF(#REF!=0.5,"fél_év",#REF!))</f>
        <v>#REF!</v>
      </c>
      <c r="K55" s="97" t="str">
        <f>IF(E55="_2019_2020_ősz",VLOOKUP(F55,#REF!,4,0),IF(OR(E55="_2018_2019_ősz",E55="_2018_2019_keresztfélév"),VLOOKUP(F55,#REF!,4,0),IF(E55="_2017_2018_keresztfélév",VLOOKUP(F55,#REF!,4,0),IF(E55="_2017_2018_ősz",VLOOKUP(F55,#REF!,4,0),IF(OR(E55="_2016_2017_ősz",E55="_2016_2017_keresztfélév"),VLOOKUP(F55,#REF!,4,0),"HIBA!")))))</f>
        <v>HIBA!</v>
      </c>
      <c r="L55" s="143" t="e">
        <f>H55&amp;" "&amp;#REF!</f>
        <v>#REF!</v>
      </c>
      <c r="M55" s="136">
        <f>'Támogatás szorzat tényezői'!$C$19*('Támogatás szorzat tényezői'!$C$16/'Támogatás szorzat tényezői'!$C$14)</f>
        <v>120000</v>
      </c>
      <c r="N55" s="98">
        <f t="shared" si="1"/>
        <v>0</v>
      </c>
      <c r="O55" s="120">
        <f t="shared" si="2"/>
        <v>0</v>
      </c>
      <c r="P55" s="325"/>
      <c r="Q55" s="249">
        <f t="shared" si="3"/>
        <v>0</v>
      </c>
      <c r="R55" s="326" t="str">
        <f t="shared" si="4"/>
        <v/>
      </c>
    </row>
    <row r="56" spans="1:18" ht="30" customHeight="1" x14ac:dyDescent="0.25">
      <c r="A56" s="227"/>
      <c r="B56" s="323" t="s">
        <v>1780</v>
      </c>
      <c r="C56" s="100"/>
      <c r="D56" s="100"/>
      <c r="E56" s="102"/>
      <c r="F56" s="100"/>
      <c r="G56" s="102"/>
      <c r="H56" s="97" t="str">
        <f>IFERROR(IF(E56="_2017_2018_ősz",VLOOKUP(F56,Háttértáblák!$L$2:$M$331,2,0),IF(E56="_2017_2018_keresztfélév",VLOOKUP(F56,Háttértáblák!$N$2:$O$326,2,0),IF(OR(E56="_2018_2019_ősz",E56="_2019_2020_ősz"),VLOOKUP(F56,Háttértáblák!$S$2:$T$334,2,0),VLOOKUP(F56,Háttértáblák!$U$2:$V$330,2,0)))),"")</f>
        <v/>
      </c>
      <c r="I56" s="97" t="str">
        <f t="shared" si="0"/>
        <v>_</v>
      </c>
      <c r="J56" s="97" t="e">
        <f>IF(#REF!="","",E56&amp;"_"&amp;IF(#REF!=0.5,"fél_év",#REF!))</f>
        <v>#REF!</v>
      </c>
      <c r="K56" s="97" t="str">
        <f>IF(E56="_2019_2020_ősz",VLOOKUP(F56,#REF!,4,0),IF(OR(E56="_2018_2019_ősz",E56="_2018_2019_keresztfélév"),VLOOKUP(F56,#REF!,4,0),IF(E56="_2017_2018_keresztfélév",VLOOKUP(F56,#REF!,4,0),IF(E56="_2017_2018_ősz",VLOOKUP(F56,#REF!,4,0),IF(OR(E56="_2016_2017_ősz",E56="_2016_2017_keresztfélév"),VLOOKUP(F56,#REF!,4,0),"HIBA!")))))</f>
        <v>HIBA!</v>
      </c>
      <c r="L56" s="143" t="e">
        <f>H56&amp;" "&amp;#REF!</f>
        <v>#REF!</v>
      </c>
      <c r="M56" s="136">
        <f>'Támogatás szorzat tényezői'!$C$19*('Támogatás szorzat tényezői'!$C$16/'Támogatás szorzat tényezői'!$C$14)</f>
        <v>120000</v>
      </c>
      <c r="N56" s="98">
        <f t="shared" si="1"/>
        <v>0</v>
      </c>
      <c r="O56" s="120">
        <f t="shared" si="2"/>
        <v>0</v>
      </c>
      <c r="P56" s="325"/>
      <c r="Q56" s="249">
        <f t="shared" si="3"/>
        <v>0</v>
      </c>
      <c r="R56" s="326" t="str">
        <f t="shared" si="4"/>
        <v/>
      </c>
    </row>
    <row r="57" spans="1:18" ht="30" customHeight="1" x14ac:dyDescent="0.25">
      <c r="A57" s="227"/>
      <c r="B57" s="323" t="s">
        <v>1780</v>
      </c>
      <c r="C57" s="100"/>
      <c r="D57" s="100"/>
      <c r="E57" s="102"/>
      <c r="F57" s="100"/>
      <c r="G57" s="102"/>
      <c r="H57" s="97" t="str">
        <f>IFERROR(IF(E57="_2017_2018_ősz",VLOOKUP(F57,Háttértáblák!$L$2:$M$331,2,0),IF(E57="_2017_2018_keresztfélév",VLOOKUP(F57,Háttértáblák!$N$2:$O$326,2,0),IF(OR(E57="_2018_2019_ősz",E57="_2019_2020_ősz"),VLOOKUP(F57,Háttértáblák!$S$2:$T$334,2,0),VLOOKUP(F57,Háttértáblák!$U$2:$V$330,2,0)))),"")</f>
        <v/>
      </c>
      <c r="I57" s="97" t="str">
        <f t="shared" si="0"/>
        <v>_</v>
      </c>
      <c r="J57" s="97" t="e">
        <f>IF(#REF!="","",E57&amp;"_"&amp;IF(#REF!=0.5,"fél_év",#REF!))</f>
        <v>#REF!</v>
      </c>
      <c r="K57" s="97" t="str">
        <f>IF(E57="_2019_2020_ősz",VLOOKUP(F57,#REF!,4,0),IF(OR(E57="_2018_2019_ősz",E57="_2018_2019_keresztfélév"),VLOOKUP(F57,#REF!,4,0),IF(E57="_2017_2018_keresztfélév",VLOOKUP(F57,#REF!,4,0),IF(E57="_2017_2018_ősz",VLOOKUP(F57,#REF!,4,0),IF(OR(E57="_2016_2017_ősz",E57="_2016_2017_keresztfélév"),VLOOKUP(F57,#REF!,4,0),"HIBA!")))))</f>
        <v>HIBA!</v>
      </c>
      <c r="L57" s="143" t="e">
        <f>H57&amp;" "&amp;#REF!</f>
        <v>#REF!</v>
      </c>
      <c r="M57" s="136">
        <f>'Támogatás szorzat tényezői'!$C$19*('Támogatás szorzat tényezői'!$C$16/'Támogatás szorzat tényezői'!$C$14)</f>
        <v>120000</v>
      </c>
      <c r="N57" s="98">
        <f t="shared" si="1"/>
        <v>0</v>
      </c>
      <c r="O57" s="120">
        <f t="shared" si="2"/>
        <v>0</v>
      </c>
      <c r="P57" s="325"/>
      <c r="Q57" s="249">
        <f t="shared" si="3"/>
        <v>0</v>
      </c>
      <c r="R57" s="326" t="str">
        <f t="shared" si="4"/>
        <v/>
      </c>
    </row>
    <row r="58" spans="1:18" ht="30" customHeight="1" x14ac:dyDescent="0.25">
      <c r="A58" s="227"/>
      <c r="B58" s="323" t="s">
        <v>1780</v>
      </c>
      <c r="C58" s="100"/>
      <c r="D58" s="100"/>
      <c r="E58" s="102"/>
      <c r="F58" s="100"/>
      <c r="G58" s="102"/>
      <c r="H58" s="97" t="str">
        <f>IFERROR(IF(E58="_2017_2018_ősz",VLOOKUP(F58,Háttértáblák!$L$2:$M$331,2,0),IF(E58="_2017_2018_keresztfélév",VLOOKUP(F58,Háttértáblák!$N$2:$O$326,2,0),IF(OR(E58="_2018_2019_ősz",E58="_2019_2020_ősz"),VLOOKUP(F58,Háttértáblák!$S$2:$T$334,2,0),VLOOKUP(F58,Háttértáblák!$U$2:$V$330,2,0)))),"")</f>
        <v/>
      </c>
      <c r="I58" s="97" t="str">
        <f t="shared" si="0"/>
        <v>_</v>
      </c>
      <c r="J58" s="97" t="e">
        <f>IF(#REF!="","",E58&amp;"_"&amp;IF(#REF!=0.5,"fél_év",#REF!))</f>
        <v>#REF!</v>
      </c>
      <c r="K58" s="97" t="str">
        <f>IF(E58="_2019_2020_ősz",VLOOKUP(F58,#REF!,4,0),IF(OR(E58="_2018_2019_ősz",E58="_2018_2019_keresztfélév"),VLOOKUP(F58,#REF!,4,0),IF(E58="_2017_2018_keresztfélév",VLOOKUP(F58,#REF!,4,0),IF(E58="_2017_2018_ősz",VLOOKUP(F58,#REF!,4,0),IF(OR(E58="_2016_2017_ősz",E58="_2016_2017_keresztfélév"),VLOOKUP(F58,#REF!,4,0),"HIBA!")))))</f>
        <v>HIBA!</v>
      </c>
      <c r="L58" s="143" t="e">
        <f>H58&amp;" "&amp;#REF!</f>
        <v>#REF!</v>
      </c>
      <c r="M58" s="136">
        <f>'Támogatás szorzat tényezői'!$C$19*('Támogatás szorzat tényezői'!$C$16/'Támogatás szorzat tényezői'!$C$14)</f>
        <v>120000</v>
      </c>
      <c r="N58" s="98">
        <f t="shared" si="1"/>
        <v>0</v>
      </c>
      <c r="O58" s="120">
        <f t="shared" si="2"/>
        <v>0</v>
      </c>
      <c r="P58" s="325"/>
      <c r="Q58" s="249">
        <f t="shared" si="3"/>
        <v>0</v>
      </c>
      <c r="R58" s="326" t="str">
        <f t="shared" si="4"/>
        <v/>
      </c>
    </row>
    <row r="59" spans="1:18" ht="30" customHeight="1" x14ac:dyDescent="0.25">
      <c r="A59" s="227"/>
      <c r="B59" s="323" t="s">
        <v>1780</v>
      </c>
      <c r="C59" s="100"/>
      <c r="D59" s="100"/>
      <c r="E59" s="102"/>
      <c r="F59" s="100"/>
      <c r="G59" s="102"/>
      <c r="H59" s="97" t="str">
        <f>IFERROR(IF(E59="_2017_2018_ősz",VLOOKUP(F59,Háttértáblák!$L$2:$M$331,2,0),IF(E59="_2017_2018_keresztfélév",VLOOKUP(F59,Háttértáblák!$N$2:$O$326,2,0),IF(OR(E59="_2018_2019_ősz",E59="_2019_2020_ősz"),VLOOKUP(F59,Háttértáblák!$S$2:$T$334,2,0),VLOOKUP(F59,Háttértáblák!$U$2:$V$330,2,0)))),"")</f>
        <v/>
      </c>
      <c r="I59" s="97" t="str">
        <f t="shared" si="0"/>
        <v>_</v>
      </c>
      <c r="J59" s="97" t="e">
        <f>IF(#REF!="","",E59&amp;"_"&amp;IF(#REF!=0.5,"fél_év",#REF!))</f>
        <v>#REF!</v>
      </c>
      <c r="K59" s="97" t="str">
        <f>IF(E59="_2019_2020_ősz",VLOOKUP(F59,#REF!,4,0),IF(OR(E59="_2018_2019_ősz",E59="_2018_2019_keresztfélév"),VLOOKUP(F59,#REF!,4,0),IF(E59="_2017_2018_keresztfélév",VLOOKUP(F59,#REF!,4,0),IF(E59="_2017_2018_ősz",VLOOKUP(F59,#REF!,4,0),IF(OR(E59="_2016_2017_ősz",E59="_2016_2017_keresztfélév"),VLOOKUP(F59,#REF!,4,0),"HIBA!")))))</f>
        <v>HIBA!</v>
      </c>
      <c r="L59" s="143" t="e">
        <f>H59&amp;" "&amp;#REF!</f>
        <v>#REF!</v>
      </c>
      <c r="M59" s="136">
        <f>'Támogatás szorzat tényezői'!$C$19*('Támogatás szorzat tényezői'!$C$16/'Támogatás szorzat tényezői'!$C$14)</f>
        <v>120000</v>
      </c>
      <c r="N59" s="98">
        <f t="shared" si="1"/>
        <v>0</v>
      </c>
      <c r="O59" s="120">
        <f t="shared" si="2"/>
        <v>0</v>
      </c>
      <c r="P59" s="325"/>
      <c r="Q59" s="249">
        <f t="shared" si="3"/>
        <v>0</v>
      </c>
      <c r="R59" s="326" t="str">
        <f t="shared" si="4"/>
        <v/>
      </c>
    </row>
    <row r="60" spans="1:18" ht="30" customHeight="1" x14ac:dyDescent="0.25">
      <c r="A60" s="227"/>
      <c r="B60" s="323" t="s">
        <v>1780</v>
      </c>
      <c r="C60" s="100"/>
      <c r="D60" s="100"/>
      <c r="E60" s="102"/>
      <c r="F60" s="100"/>
      <c r="G60" s="102"/>
      <c r="H60" s="97" t="str">
        <f>IFERROR(IF(E60="_2017_2018_ősz",VLOOKUP(F60,Háttértáblák!$L$2:$M$331,2,0),IF(E60="_2017_2018_keresztfélév",VLOOKUP(F60,Háttértáblák!$N$2:$O$326,2,0),IF(OR(E60="_2018_2019_ősz",E60="_2019_2020_ősz"),VLOOKUP(F60,Háttértáblák!$S$2:$T$334,2,0),VLOOKUP(F60,Háttértáblák!$U$2:$V$330,2,0)))),"")</f>
        <v/>
      </c>
      <c r="I60" s="97" t="str">
        <f t="shared" si="0"/>
        <v>_</v>
      </c>
      <c r="J60" s="97" t="e">
        <f>IF(#REF!="","",E60&amp;"_"&amp;IF(#REF!=0.5,"fél_év",#REF!))</f>
        <v>#REF!</v>
      </c>
      <c r="K60" s="97" t="str">
        <f>IF(E60="_2019_2020_ősz",VLOOKUP(F60,#REF!,4,0),IF(OR(E60="_2018_2019_ősz",E60="_2018_2019_keresztfélév"),VLOOKUP(F60,#REF!,4,0),IF(E60="_2017_2018_keresztfélév",VLOOKUP(F60,#REF!,4,0),IF(E60="_2017_2018_ősz",VLOOKUP(F60,#REF!,4,0),IF(OR(E60="_2016_2017_ősz",E60="_2016_2017_keresztfélév"),VLOOKUP(F60,#REF!,4,0),"HIBA!")))))</f>
        <v>HIBA!</v>
      </c>
      <c r="L60" s="143" t="e">
        <f>H60&amp;" "&amp;#REF!</f>
        <v>#REF!</v>
      </c>
      <c r="M60" s="136">
        <f>'Támogatás szorzat tényezői'!$C$19*('Támogatás szorzat tényezői'!$C$16/'Támogatás szorzat tényezői'!$C$14)</f>
        <v>120000</v>
      </c>
      <c r="N60" s="98">
        <f t="shared" si="1"/>
        <v>0</v>
      </c>
      <c r="O60" s="120">
        <f t="shared" si="2"/>
        <v>0</v>
      </c>
      <c r="P60" s="325"/>
      <c r="Q60" s="249">
        <f t="shared" si="3"/>
        <v>0</v>
      </c>
      <c r="R60" s="326" t="str">
        <f t="shared" si="4"/>
        <v/>
      </c>
    </row>
    <row r="61" spans="1:18" ht="30" customHeight="1" x14ac:dyDescent="0.25">
      <c r="A61" s="227"/>
      <c r="B61" s="323" t="s">
        <v>1780</v>
      </c>
      <c r="C61" s="100"/>
      <c r="D61" s="100"/>
      <c r="E61" s="102"/>
      <c r="F61" s="100"/>
      <c r="G61" s="102"/>
      <c r="H61" s="97" t="str">
        <f>IFERROR(IF(E61="_2017_2018_ősz",VLOOKUP(F61,Háttértáblák!$L$2:$M$331,2,0),IF(E61="_2017_2018_keresztfélév",VLOOKUP(F61,Háttértáblák!$N$2:$O$326,2,0),IF(OR(E61="_2018_2019_ősz",E61="_2019_2020_ősz"),VLOOKUP(F61,Háttértáblák!$S$2:$T$334,2,0),VLOOKUP(F61,Háttértáblák!$U$2:$V$330,2,0)))),"")</f>
        <v/>
      </c>
      <c r="I61" s="97" t="str">
        <f t="shared" si="0"/>
        <v>_</v>
      </c>
      <c r="J61" s="97" t="e">
        <f>IF(#REF!="","",E61&amp;"_"&amp;IF(#REF!=0.5,"fél_év",#REF!))</f>
        <v>#REF!</v>
      </c>
      <c r="K61" s="97" t="str">
        <f>IF(E61="_2019_2020_ősz",VLOOKUP(F61,#REF!,4,0),IF(OR(E61="_2018_2019_ősz",E61="_2018_2019_keresztfélév"),VLOOKUP(F61,#REF!,4,0),IF(E61="_2017_2018_keresztfélév",VLOOKUP(F61,#REF!,4,0),IF(E61="_2017_2018_ősz",VLOOKUP(F61,#REF!,4,0),IF(OR(E61="_2016_2017_ősz",E61="_2016_2017_keresztfélév"),VLOOKUP(F61,#REF!,4,0),"HIBA!")))))</f>
        <v>HIBA!</v>
      </c>
      <c r="L61" s="143" t="e">
        <f>H61&amp;" "&amp;#REF!</f>
        <v>#REF!</v>
      </c>
      <c r="M61" s="136">
        <f>'Támogatás szorzat tényezői'!$C$19*('Támogatás szorzat tényezői'!$C$16/'Támogatás szorzat tényezői'!$C$14)</f>
        <v>120000</v>
      </c>
      <c r="N61" s="98">
        <f t="shared" si="1"/>
        <v>0</v>
      </c>
      <c r="O61" s="120">
        <f t="shared" si="2"/>
        <v>0</v>
      </c>
      <c r="P61" s="325"/>
      <c r="Q61" s="249">
        <f t="shared" si="3"/>
        <v>0</v>
      </c>
      <c r="R61" s="326" t="str">
        <f t="shared" si="4"/>
        <v/>
      </c>
    </row>
    <row r="62" spans="1:18" ht="30" customHeight="1" x14ac:dyDescent="0.25">
      <c r="A62" s="227"/>
      <c r="B62" s="323" t="s">
        <v>1780</v>
      </c>
      <c r="C62" s="100"/>
      <c r="D62" s="100"/>
      <c r="E62" s="102"/>
      <c r="F62" s="100"/>
      <c r="G62" s="102"/>
      <c r="H62" s="97" t="str">
        <f>IFERROR(IF(E62="_2017_2018_ősz",VLOOKUP(F62,Háttértáblák!$L$2:$M$331,2,0),IF(E62="_2017_2018_keresztfélév",VLOOKUP(F62,Háttértáblák!$N$2:$O$326,2,0),IF(OR(E62="_2018_2019_ősz",E62="_2019_2020_ősz"),VLOOKUP(F62,Háttértáblák!$S$2:$T$334,2,0),VLOOKUP(F62,Háttértáblák!$U$2:$V$330,2,0)))),"")</f>
        <v/>
      </c>
      <c r="I62" s="97" t="str">
        <f t="shared" si="0"/>
        <v>_</v>
      </c>
      <c r="J62" s="97" t="e">
        <f>IF(#REF!="","",E62&amp;"_"&amp;IF(#REF!=0.5,"fél_év",#REF!))</f>
        <v>#REF!</v>
      </c>
      <c r="K62" s="97" t="str">
        <f>IF(E62="_2019_2020_ősz",VLOOKUP(F62,#REF!,4,0),IF(OR(E62="_2018_2019_ősz",E62="_2018_2019_keresztfélév"),VLOOKUP(F62,#REF!,4,0),IF(E62="_2017_2018_keresztfélév",VLOOKUP(F62,#REF!,4,0),IF(E62="_2017_2018_ősz",VLOOKUP(F62,#REF!,4,0),IF(OR(E62="_2016_2017_ősz",E62="_2016_2017_keresztfélév"),VLOOKUP(F62,#REF!,4,0),"HIBA!")))))</f>
        <v>HIBA!</v>
      </c>
      <c r="L62" s="143" t="e">
        <f>H62&amp;" "&amp;#REF!</f>
        <v>#REF!</v>
      </c>
      <c r="M62" s="136">
        <f>'Támogatás szorzat tényezői'!$C$19*('Támogatás szorzat tényezői'!$C$16/'Támogatás szorzat tényezői'!$C$14)</f>
        <v>120000</v>
      </c>
      <c r="N62" s="98">
        <f t="shared" si="1"/>
        <v>0</v>
      </c>
      <c r="O62" s="120">
        <f t="shared" si="2"/>
        <v>0</v>
      </c>
      <c r="P62" s="325"/>
      <c r="Q62" s="249">
        <f t="shared" si="3"/>
        <v>0</v>
      </c>
      <c r="R62" s="326" t="str">
        <f t="shared" si="4"/>
        <v/>
      </c>
    </row>
    <row r="63" spans="1:18" ht="30" customHeight="1" x14ac:dyDescent="0.25">
      <c r="A63" s="227"/>
      <c r="B63" s="323" t="s">
        <v>1780</v>
      </c>
      <c r="C63" s="100"/>
      <c r="D63" s="100"/>
      <c r="E63" s="102"/>
      <c r="F63" s="100"/>
      <c r="G63" s="102"/>
      <c r="H63" s="97" t="str">
        <f>IFERROR(IF(E63="_2017_2018_ősz",VLOOKUP(F63,Háttértáblák!$L$2:$M$331,2,0),IF(E63="_2017_2018_keresztfélév",VLOOKUP(F63,Háttértáblák!$N$2:$O$326,2,0),IF(OR(E63="_2018_2019_ősz",E63="_2019_2020_ősz"),VLOOKUP(F63,Háttértáblák!$S$2:$T$334,2,0),VLOOKUP(F63,Háttértáblák!$U$2:$V$330,2,0)))),"")</f>
        <v/>
      </c>
      <c r="I63" s="97" t="str">
        <f t="shared" si="0"/>
        <v>_</v>
      </c>
      <c r="J63" s="97" t="e">
        <f>IF(#REF!="","",E63&amp;"_"&amp;IF(#REF!=0.5,"fél_év",#REF!))</f>
        <v>#REF!</v>
      </c>
      <c r="K63" s="97" t="str">
        <f>IF(E63="_2019_2020_ősz",VLOOKUP(F63,#REF!,4,0),IF(OR(E63="_2018_2019_ősz",E63="_2018_2019_keresztfélév"),VLOOKUP(F63,#REF!,4,0),IF(E63="_2017_2018_keresztfélév",VLOOKUP(F63,#REF!,4,0),IF(E63="_2017_2018_ősz",VLOOKUP(F63,#REF!,4,0),IF(OR(E63="_2016_2017_ősz",E63="_2016_2017_keresztfélév"),VLOOKUP(F63,#REF!,4,0),"HIBA!")))))</f>
        <v>HIBA!</v>
      </c>
      <c r="L63" s="143" t="e">
        <f>H63&amp;" "&amp;#REF!</f>
        <v>#REF!</v>
      </c>
      <c r="M63" s="136">
        <f>'Támogatás szorzat tényezői'!$C$19*('Támogatás szorzat tényezői'!$C$16/'Támogatás szorzat tényezői'!$C$14)</f>
        <v>120000</v>
      </c>
      <c r="N63" s="98">
        <f t="shared" si="1"/>
        <v>0</v>
      </c>
      <c r="O63" s="120">
        <f t="shared" si="2"/>
        <v>0</v>
      </c>
      <c r="P63" s="325"/>
      <c r="Q63" s="249">
        <f t="shared" si="3"/>
        <v>0</v>
      </c>
      <c r="R63" s="326" t="str">
        <f t="shared" si="4"/>
        <v/>
      </c>
    </row>
    <row r="64" spans="1:18" ht="30" customHeight="1" x14ac:dyDescent="0.25">
      <c r="A64" s="227"/>
      <c r="B64" s="323" t="s">
        <v>1780</v>
      </c>
      <c r="C64" s="100"/>
      <c r="D64" s="100"/>
      <c r="E64" s="102"/>
      <c r="F64" s="100"/>
      <c r="G64" s="102"/>
      <c r="H64" s="97" t="str">
        <f>IFERROR(IF(E64="_2017_2018_ősz",VLOOKUP(F64,Háttértáblák!$L$2:$M$331,2,0),IF(E64="_2017_2018_keresztfélév",VLOOKUP(F64,Háttértáblák!$N$2:$O$326,2,0),IF(OR(E64="_2018_2019_ősz",E64="_2019_2020_ősz"),VLOOKUP(F64,Háttértáblák!$S$2:$T$334,2,0),VLOOKUP(F64,Háttértáblák!$U$2:$V$330,2,0)))),"")</f>
        <v/>
      </c>
      <c r="I64" s="97" t="str">
        <f t="shared" si="0"/>
        <v>_</v>
      </c>
      <c r="J64" s="97" t="e">
        <f>IF(#REF!="","",E64&amp;"_"&amp;IF(#REF!=0.5,"fél_év",#REF!))</f>
        <v>#REF!</v>
      </c>
      <c r="K64" s="97" t="str">
        <f>IF(E64="_2019_2020_ősz",VLOOKUP(F64,#REF!,4,0),IF(OR(E64="_2018_2019_ősz",E64="_2018_2019_keresztfélév"),VLOOKUP(F64,#REF!,4,0),IF(E64="_2017_2018_keresztfélév",VLOOKUP(F64,#REF!,4,0),IF(E64="_2017_2018_ősz",VLOOKUP(F64,#REF!,4,0),IF(OR(E64="_2016_2017_ősz",E64="_2016_2017_keresztfélév"),VLOOKUP(F64,#REF!,4,0),"HIBA!")))))</f>
        <v>HIBA!</v>
      </c>
      <c r="L64" s="143" t="e">
        <f>H64&amp;" "&amp;#REF!</f>
        <v>#REF!</v>
      </c>
      <c r="M64" s="136">
        <f>'Támogatás szorzat tényezői'!$C$19*('Támogatás szorzat tényezői'!$C$16/'Támogatás szorzat tényezői'!$C$14)</f>
        <v>120000</v>
      </c>
      <c r="N64" s="98">
        <f t="shared" si="1"/>
        <v>0</v>
      </c>
      <c r="O64" s="120">
        <f t="shared" si="2"/>
        <v>0</v>
      </c>
      <c r="P64" s="325"/>
      <c r="Q64" s="249">
        <f t="shared" si="3"/>
        <v>0</v>
      </c>
      <c r="R64" s="326" t="str">
        <f t="shared" si="4"/>
        <v/>
      </c>
    </row>
    <row r="65" spans="1:18" ht="30" customHeight="1" x14ac:dyDescent="0.25">
      <c r="A65" s="227"/>
      <c r="B65" s="323" t="s">
        <v>1780</v>
      </c>
      <c r="C65" s="100"/>
      <c r="D65" s="100"/>
      <c r="E65" s="102"/>
      <c r="F65" s="100"/>
      <c r="G65" s="102"/>
      <c r="H65" s="97" t="str">
        <f>IFERROR(IF(E65="_2017_2018_ősz",VLOOKUP(F65,Háttértáblák!$L$2:$M$331,2,0),IF(E65="_2017_2018_keresztfélév",VLOOKUP(F65,Háttértáblák!$N$2:$O$326,2,0),IF(OR(E65="_2018_2019_ősz",E65="_2019_2020_ősz"),VLOOKUP(F65,Háttértáblák!$S$2:$T$334,2,0),VLOOKUP(F65,Háttértáblák!$U$2:$V$330,2,0)))),"")</f>
        <v/>
      </c>
      <c r="I65" s="97" t="str">
        <f t="shared" si="0"/>
        <v>_</v>
      </c>
      <c r="J65" s="97" t="e">
        <f>IF(#REF!="","",E65&amp;"_"&amp;IF(#REF!=0.5,"fél_év",#REF!))</f>
        <v>#REF!</v>
      </c>
      <c r="K65" s="97" t="str">
        <f>IF(E65="_2019_2020_ősz",VLOOKUP(F65,#REF!,4,0),IF(OR(E65="_2018_2019_ősz",E65="_2018_2019_keresztfélév"),VLOOKUP(F65,#REF!,4,0),IF(E65="_2017_2018_keresztfélév",VLOOKUP(F65,#REF!,4,0),IF(E65="_2017_2018_ősz",VLOOKUP(F65,#REF!,4,0),IF(OR(E65="_2016_2017_ősz",E65="_2016_2017_keresztfélév"),VLOOKUP(F65,#REF!,4,0),"HIBA!")))))</f>
        <v>HIBA!</v>
      </c>
      <c r="L65" s="143" t="e">
        <f>H65&amp;" "&amp;#REF!</f>
        <v>#REF!</v>
      </c>
      <c r="M65" s="136">
        <f>'Támogatás szorzat tényezői'!$C$19*('Támogatás szorzat tényezői'!$C$16/'Támogatás szorzat tényezői'!$C$14)</f>
        <v>120000</v>
      </c>
      <c r="N65" s="98">
        <f t="shared" si="1"/>
        <v>0</v>
      </c>
      <c r="O65" s="120">
        <f t="shared" si="2"/>
        <v>0</v>
      </c>
      <c r="P65" s="325"/>
      <c r="Q65" s="249">
        <f t="shared" si="3"/>
        <v>0</v>
      </c>
      <c r="R65" s="326" t="str">
        <f t="shared" si="4"/>
        <v/>
      </c>
    </row>
    <row r="66" spans="1:18" ht="30" customHeight="1" x14ac:dyDescent="0.25">
      <c r="A66" s="227"/>
      <c r="B66" s="323" t="s">
        <v>1780</v>
      </c>
      <c r="C66" s="100"/>
      <c r="D66" s="100"/>
      <c r="E66" s="102"/>
      <c r="F66" s="100"/>
      <c r="G66" s="102"/>
      <c r="H66" s="97" t="str">
        <f>IFERROR(IF(E66="_2017_2018_ősz",VLOOKUP(F66,Háttértáblák!$L$2:$M$331,2,0),IF(E66="_2017_2018_keresztfélév",VLOOKUP(F66,Háttértáblák!$N$2:$O$326,2,0),IF(OR(E66="_2018_2019_ősz",E66="_2019_2020_ősz"),VLOOKUP(F66,Háttértáblák!$S$2:$T$334,2,0),VLOOKUP(F66,Háttértáblák!$U$2:$V$330,2,0)))),"")</f>
        <v/>
      </c>
      <c r="I66" s="97" t="str">
        <f t="shared" si="0"/>
        <v>_</v>
      </c>
      <c r="J66" s="97" t="e">
        <f>IF(#REF!="","",E66&amp;"_"&amp;IF(#REF!=0.5,"fél_év",#REF!))</f>
        <v>#REF!</v>
      </c>
      <c r="K66" s="97" t="str">
        <f>IF(E66="_2019_2020_ősz",VLOOKUP(F66,#REF!,4,0),IF(OR(E66="_2018_2019_ősz",E66="_2018_2019_keresztfélév"),VLOOKUP(F66,#REF!,4,0),IF(E66="_2017_2018_keresztfélév",VLOOKUP(F66,#REF!,4,0),IF(E66="_2017_2018_ősz",VLOOKUP(F66,#REF!,4,0),IF(OR(E66="_2016_2017_ősz",E66="_2016_2017_keresztfélév"),VLOOKUP(F66,#REF!,4,0),"HIBA!")))))</f>
        <v>HIBA!</v>
      </c>
      <c r="L66" s="143" t="e">
        <f>H66&amp;" "&amp;#REF!</f>
        <v>#REF!</v>
      </c>
      <c r="M66" s="136">
        <f>'Támogatás szorzat tényezői'!$C$19*('Támogatás szorzat tényezői'!$C$16/'Támogatás szorzat tényezői'!$C$14)</f>
        <v>120000</v>
      </c>
      <c r="N66" s="98">
        <f t="shared" si="1"/>
        <v>0</v>
      </c>
      <c r="O66" s="120">
        <f t="shared" si="2"/>
        <v>0</v>
      </c>
      <c r="P66" s="325"/>
      <c r="Q66" s="249">
        <f t="shared" si="3"/>
        <v>0</v>
      </c>
      <c r="R66" s="326" t="str">
        <f t="shared" si="4"/>
        <v/>
      </c>
    </row>
    <row r="67" spans="1:18" ht="30" customHeight="1" x14ac:dyDescent="0.25">
      <c r="A67" s="227"/>
      <c r="B67" s="323" t="s">
        <v>1780</v>
      </c>
      <c r="C67" s="100"/>
      <c r="D67" s="100"/>
      <c r="E67" s="102"/>
      <c r="F67" s="100"/>
      <c r="G67" s="102"/>
      <c r="H67" s="97" t="str">
        <f>IFERROR(IF(E67="_2017_2018_ősz",VLOOKUP(F67,Háttértáblák!$L$2:$M$331,2,0),IF(E67="_2017_2018_keresztfélév",VLOOKUP(F67,Háttértáblák!$N$2:$O$326,2,0),IF(OR(E67="_2018_2019_ősz",E67="_2019_2020_ősz"),VLOOKUP(F67,Háttértáblák!$S$2:$T$334,2,0),VLOOKUP(F67,Háttértáblák!$U$2:$V$330,2,0)))),"")</f>
        <v/>
      </c>
      <c r="I67" s="97" t="str">
        <f t="shared" si="0"/>
        <v>_</v>
      </c>
      <c r="J67" s="97" t="e">
        <f>IF(#REF!="","",E67&amp;"_"&amp;IF(#REF!=0.5,"fél_év",#REF!))</f>
        <v>#REF!</v>
      </c>
      <c r="K67" s="97" t="str">
        <f>IF(E67="_2019_2020_ősz",VLOOKUP(F67,#REF!,4,0),IF(OR(E67="_2018_2019_ősz",E67="_2018_2019_keresztfélév"),VLOOKUP(F67,#REF!,4,0),IF(E67="_2017_2018_keresztfélév",VLOOKUP(F67,#REF!,4,0),IF(E67="_2017_2018_ősz",VLOOKUP(F67,#REF!,4,0),IF(OR(E67="_2016_2017_ősz",E67="_2016_2017_keresztfélév"),VLOOKUP(F67,#REF!,4,0),"HIBA!")))))</f>
        <v>HIBA!</v>
      </c>
      <c r="L67" s="143" t="e">
        <f>H67&amp;" "&amp;#REF!</f>
        <v>#REF!</v>
      </c>
      <c r="M67" s="136">
        <f>'Támogatás szorzat tényezői'!$C$19*('Támogatás szorzat tényezői'!$C$16/'Támogatás szorzat tényezői'!$C$14)</f>
        <v>120000</v>
      </c>
      <c r="N67" s="98">
        <f t="shared" si="1"/>
        <v>0</v>
      </c>
      <c r="O67" s="120">
        <f t="shared" si="2"/>
        <v>0</v>
      </c>
      <c r="P67" s="325"/>
      <c r="Q67" s="249">
        <f t="shared" si="3"/>
        <v>0</v>
      </c>
      <c r="R67" s="326" t="str">
        <f t="shared" si="4"/>
        <v/>
      </c>
    </row>
    <row r="68" spans="1:18" ht="30" customHeight="1" x14ac:dyDescent="0.25">
      <c r="A68" s="227"/>
      <c r="B68" s="323" t="s">
        <v>1780</v>
      </c>
      <c r="C68" s="100"/>
      <c r="D68" s="100"/>
      <c r="E68" s="102"/>
      <c r="F68" s="100"/>
      <c r="G68" s="102"/>
      <c r="H68" s="97" t="str">
        <f>IFERROR(IF(E68="_2017_2018_ősz",VLOOKUP(F68,Háttértáblák!$L$2:$M$331,2,0),IF(E68="_2017_2018_keresztfélév",VLOOKUP(F68,Háttértáblák!$N$2:$O$326,2,0),IF(OR(E68="_2018_2019_ősz",E68="_2019_2020_ősz"),VLOOKUP(F68,Háttértáblák!$S$2:$T$334,2,0),VLOOKUP(F68,Háttértáblák!$U$2:$V$330,2,0)))),"")</f>
        <v/>
      </c>
      <c r="I68" s="97" t="str">
        <f t="shared" ref="I68:I103" si="5">"_"&amp;LEFT(H68,2)</f>
        <v>_</v>
      </c>
      <c r="J68" s="97" t="e">
        <f>IF(#REF!="","",E68&amp;"_"&amp;IF(#REF!=0.5,"fél_év",#REF!))</f>
        <v>#REF!</v>
      </c>
      <c r="K68" s="97" t="str">
        <f>IF(E68="_2019_2020_ősz",VLOOKUP(F68,#REF!,4,0),IF(OR(E68="_2018_2019_ősz",E68="_2018_2019_keresztfélév"),VLOOKUP(F68,#REF!,4,0),IF(E68="_2017_2018_keresztfélév",VLOOKUP(F68,#REF!,4,0),IF(E68="_2017_2018_ősz",VLOOKUP(F68,#REF!,4,0),IF(OR(E68="_2016_2017_ősz",E68="_2016_2017_keresztfélév"),VLOOKUP(F68,#REF!,4,0),"HIBA!")))))</f>
        <v>HIBA!</v>
      </c>
      <c r="L68" s="143" t="e">
        <f>H68&amp;" "&amp;#REF!</f>
        <v>#REF!</v>
      </c>
      <c r="M68" s="136">
        <f>'Támogatás szorzat tényezői'!$C$19*('Támogatás szorzat tényezői'!$C$16/'Támogatás szorzat tényezői'!$C$14)</f>
        <v>120000</v>
      </c>
      <c r="N68" s="98">
        <f t="shared" ref="N68:N103" si="6">G68*M68</f>
        <v>0</v>
      </c>
      <c r="O68" s="120">
        <f t="shared" ref="O68:O103" si="7">N68</f>
        <v>0</v>
      </c>
      <c r="P68" s="325"/>
      <c r="Q68" s="249">
        <f t="shared" ref="Q68:Q103" si="8">M68*P68</f>
        <v>0</v>
      </c>
      <c r="R68" s="326" t="str">
        <f t="shared" si="4"/>
        <v/>
      </c>
    </row>
    <row r="69" spans="1:18" ht="30" customHeight="1" x14ac:dyDescent="0.25">
      <c r="A69" s="227"/>
      <c r="B69" s="323" t="s">
        <v>1780</v>
      </c>
      <c r="C69" s="100"/>
      <c r="D69" s="100"/>
      <c r="E69" s="102"/>
      <c r="F69" s="100"/>
      <c r="G69" s="102"/>
      <c r="H69" s="97" t="str">
        <f>IFERROR(IF(E69="_2017_2018_ősz",VLOOKUP(F69,Háttértáblák!$L$2:$M$331,2,0),IF(E69="_2017_2018_keresztfélév",VLOOKUP(F69,Háttértáblák!$N$2:$O$326,2,0),IF(OR(E69="_2018_2019_ősz",E69="_2019_2020_ősz"),VLOOKUP(F69,Háttértáblák!$S$2:$T$334,2,0),VLOOKUP(F69,Háttértáblák!$U$2:$V$330,2,0)))),"")</f>
        <v/>
      </c>
      <c r="I69" s="97" t="str">
        <f t="shared" si="5"/>
        <v>_</v>
      </c>
      <c r="J69" s="97" t="e">
        <f>IF(#REF!="","",E69&amp;"_"&amp;IF(#REF!=0.5,"fél_év",#REF!))</f>
        <v>#REF!</v>
      </c>
      <c r="K69" s="97" t="str">
        <f>IF(E69="_2019_2020_ősz",VLOOKUP(F69,#REF!,4,0),IF(OR(E69="_2018_2019_ősz",E69="_2018_2019_keresztfélév"),VLOOKUP(F69,#REF!,4,0),IF(E69="_2017_2018_keresztfélév",VLOOKUP(F69,#REF!,4,0),IF(E69="_2017_2018_ősz",VLOOKUP(F69,#REF!,4,0),IF(OR(E69="_2016_2017_ősz",E69="_2016_2017_keresztfélév"),VLOOKUP(F69,#REF!,4,0),"HIBA!")))))</f>
        <v>HIBA!</v>
      </c>
      <c r="L69" s="143" t="e">
        <f>H69&amp;" "&amp;#REF!</f>
        <v>#REF!</v>
      </c>
      <c r="M69" s="136">
        <f>'Támogatás szorzat tényezői'!$C$19*('Támogatás szorzat tényezői'!$C$16/'Támogatás szorzat tényezői'!$C$14)</f>
        <v>120000</v>
      </c>
      <c r="N69" s="98">
        <f t="shared" si="6"/>
        <v>0</v>
      </c>
      <c r="O69" s="120">
        <f t="shared" si="7"/>
        <v>0</v>
      </c>
      <c r="P69" s="325"/>
      <c r="Q69" s="249">
        <f t="shared" si="8"/>
        <v>0</v>
      </c>
      <c r="R69" s="326" t="str">
        <f t="shared" ref="R69:R103" si="9">IF(OR(G69="",P69=""),"",IF(P69&lt;G69,"A ''G'' és/vagy a ''P'' oszlop értéke hibás! Kérjük balról jobbra haladva adja meg a helyes értékeket.",""))</f>
        <v/>
      </c>
    </row>
    <row r="70" spans="1:18" ht="30" customHeight="1" x14ac:dyDescent="0.25">
      <c r="A70" s="227"/>
      <c r="B70" s="323" t="s">
        <v>1780</v>
      </c>
      <c r="C70" s="100"/>
      <c r="D70" s="100"/>
      <c r="E70" s="102"/>
      <c r="F70" s="100"/>
      <c r="G70" s="102"/>
      <c r="H70" s="97" t="str">
        <f>IFERROR(IF(E70="_2017_2018_ősz",VLOOKUP(F70,Háttértáblák!$L$2:$M$331,2,0),IF(E70="_2017_2018_keresztfélév",VLOOKUP(F70,Háttértáblák!$N$2:$O$326,2,0),IF(OR(E70="_2018_2019_ősz",E70="_2019_2020_ősz"),VLOOKUP(F70,Háttértáblák!$S$2:$T$334,2,0),VLOOKUP(F70,Háttértáblák!$U$2:$V$330,2,0)))),"")</f>
        <v/>
      </c>
      <c r="I70" s="97" t="str">
        <f t="shared" si="5"/>
        <v>_</v>
      </c>
      <c r="J70" s="97" t="e">
        <f>IF(#REF!="","",E70&amp;"_"&amp;IF(#REF!=0.5,"fél_év",#REF!))</f>
        <v>#REF!</v>
      </c>
      <c r="K70" s="97" t="str">
        <f>IF(E70="_2019_2020_ősz",VLOOKUP(F70,#REF!,4,0),IF(OR(E70="_2018_2019_ősz",E70="_2018_2019_keresztfélév"),VLOOKUP(F70,#REF!,4,0),IF(E70="_2017_2018_keresztfélév",VLOOKUP(F70,#REF!,4,0),IF(E70="_2017_2018_ősz",VLOOKUP(F70,#REF!,4,0),IF(OR(E70="_2016_2017_ősz",E70="_2016_2017_keresztfélév"),VLOOKUP(F70,#REF!,4,0),"HIBA!")))))</f>
        <v>HIBA!</v>
      </c>
      <c r="L70" s="143" t="e">
        <f>H70&amp;" "&amp;#REF!</f>
        <v>#REF!</v>
      </c>
      <c r="M70" s="136">
        <f>'Támogatás szorzat tényezői'!$C$19*('Támogatás szorzat tényezői'!$C$16/'Támogatás szorzat tényezői'!$C$14)</f>
        <v>120000</v>
      </c>
      <c r="N70" s="98">
        <f t="shared" si="6"/>
        <v>0</v>
      </c>
      <c r="O70" s="120">
        <f t="shared" si="7"/>
        <v>0</v>
      </c>
      <c r="P70" s="325"/>
      <c r="Q70" s="249">
        <f t="shared" si="8"/>
        <v>0</v>
      </c>
      <c r="R70" s="326" t="str">
        <f t="shared" si="9"/>
        <v/>
      </c>
    </row>
    <row r="71" spans="1:18" ht="30" customHeight="1" x14ac:dyDescent="0.25">
      <c r="A71" s="227"/>
      <c r="B71" s="323" t="s">
        <v>1780</v>
      </c>
      <c r="C71" s="100"/>
      <c r="D71" s="100"/>
      <c r="E71" s="102"/>
      <c r="F71" s="100"/>
      <c r="G71" s="102"/>
      <c r="H71" s="97" t="str">
        <f>IFERROR(IF(E71="_2017_2018_ősz",VLOOKUP(F71,Háttértáblák!$L$2:$M$331,2,0),IF(E71="_2017_2018_keresztfélév",VLOOKUP(F71,Háttértáblák!$N$2:$O$326,2,0),IF(OR(E71="_2018_2019_ősz",E71="_2019_2020_ősz"),VLOOKUP(F71,Háttértáblák!$S$2:$T$334,2,0),VLOOKUP(F71,Háttértáblák!$U$2:$V$330,2,0)))),"")</f>
        <v/>
      </c>
      <c r="I71" s="97" t="str">
        <f t="shared" si="5"/>
        <v>_</v>
      </c>
      <c r="J71" s="97" t="e">
        <f>IF(#REF!="","",E71&amp;"_"&amp;IF(#REF!=0.5,"fél_év",#REF!))</f>
        <v>#REF!</v>
      </c>
      <c r="K71" s="97" t="str">
        <f>IF(E71="_2019_2020_ősz",VLOOKUP(F71,#REF!,4,0),IF(OR(E71="_2018_2019_ősz",E71="_2018_2019_keresztfélév"),VLOOKUP(F71,#REF!,4,0),IF(E71="_2017_2018_keresztfélév",VLOOKUP(F71,#REF!,4,0),IF(E71="_2017_2018_ősz",VLOOKUP(F71,#REF!,4,0),IF(OR(E71="_2016_2017_ősz",E71="_2016_2017_keresztfélév"),VLOOKUP(F71,#REF!,4,0),"HIBA!")))))</f>
        <v>HIBA!</v>
      </c>
      <c r="L71" s="143" t="e">
        <f>H71&amp;" "&amp;#REF!</f>
        <v>#REF!</v>
      </c>
      <c r="M71" s="136">
        <f>'Támogatás szorzat tényezői'!$C$19*('Támogatás szorzat tényezői'!$C$16/'Támogatás szorzat tényezői'!$C$14)</f>
        <v>120000</v>
      </c>
      <c r="N71" s="98">
        <f t="shared" si="6"/>
        <v>0</v>
      </c>
      <c r="O71" s="120">
        <f t="shared" si="7"/>
        <v>0</v>
      </c>
      <c r="P71" s="325"/>
      <c r="Q71" s="249">
        <f t="shared" si="8"/>
        <v>0</v>
      </c>
      <c r="R71" s="326" t="str">
        <f t="shared" si="9"/>
        <v/>
      </c>
    </row>
    <row r="72" spans="1:18" ht="30" customHeight="1" x14ac:dyDescent="0.25">
      <c r="A72" s="227"/>
      <c r="B72" s="323" t="s">
        <v>1780</v>
      </c>
      <c r="C72" s="100"/>
      <c r="D72" s="100"/>
      <c r="E72" s="102"/>
      <c r="F72" s="100"/>
      <c r="G72" s="102"/>
      <c r="H72" s="97" t="str">
        <f>IFERROR(IF(E72="_2017_2018_ősz",VLOOKUP(F72,Háttértáblák!$L$2:$M$331,2,0),IF(E72="_2017_2018_keresztfélév",VLOOKUP(F72,Háttértáblák!$N$2:$O$326,2,0),IF(OR(E72="_2018_2019_ősz",E72="_2019_2020_ősz"),VLOOKUP(F72,Háttértáblák!$S$2:$T$334,2,0),VLOOKUP(F72,Háttértáblák!$U$2:$V$330,2,0)))),"")</f>
        <v/>
      </c>
      <c r="I72" s="97" t="str">
        <f t="shared" si="5"/>
        <v>_</v>
      </c>
      <c r="J72" s="97" t="e">
        <f>IF(#REF!="","",E72&amp;"_"&amp;IF(#REF!=0.5,"fél_év",#REF!))</f>
        <v>#REF!</v>
      </c>
      <c r="K72" s="97" t="str">
        <f>IF(E72="_2019_2020_ősz",VLOOKUP(F72,#REF!,4,0),IF(OR(E72="_2018_2019_ősz",E72="_2018_2019_keresztfélév"),VLOOKUP(F72,#REF!,4,0),IF(E72="_2017_2018_keresztfélév",VLOOKUP(F72,#REF!,4,0),IF(E72="_2017_2018_ősz",VLOOKUP(F72,#REF!,4,0),IF(OR(E72="_2016_2017_ősz",E72="_2016_2017_keresztfélév"),VLOOKUP(F72,#REF!,4,0),"HIBA!")))))</f>
        <v>HIBA!</v>
      </c>
      <c r="L72" s="143" t="e">
        <f>H72&amp;" "&amp;#REF!</f>
        <v>#REF!</v>
      </c>
      <c r="M72" s="136">
        <f>'Támogatás szorzat tényezői'!$C$19*('Támogatás szorzat tényezői'!$C$16/'Támogatás szorzat tényezői'!$C$14)</f>
        <v>120000</v>
      </c>
      <c r="N72" s="98">
        <f t="shared" si="6"/>
        <v>0</v>
      </c>
      <c r="O72" s="120">
        <f t="shared" si="7"/>
        <v>0</v>
      </c>
      <c r="P72" s="325"/>
      <c r="Q72" s="249">
        <f t="shared" si="8"/>
        <v>0</v>
      </c>
      <c r="R72" s="326" t="str">
        <f t="shared" si="9"/>
        <v/>
      </c>
    </row>
    <row r="73" spans="1:18" ht="30" customHeight="1" x14ac:dyDescent="0.25">
      <c r="A73" s="227"/>
      <c r="B73" s="323" t="s">
        <v>1780</v>
      </c>
      <c r="C73" s="100"/>
      <c r="D73" s="100"/>
      <c r="E73" s="102"/>
      <c r="F73" s="100"/>
      <c r="G73" s="102"/>
      <c r="H73" s="97" t="str">
        <f>IFERROR(IF(E73="_2017_2018_ősz",VLOOKUP(F73,Háttértáblák!$L$2:$M$331,2,0),IF(E73="_2017_2018_keresztfélév",VLOOKUP(F73,Háttértáblák!$N$2:$O$326,2,0),IF(OR(E73="_2018_2019_ősz",E73="_2019_2020_ősz"),VLOOKUP(F73,Háttértáblák!$S$2:$T$334,2,0),VLOOKUP(F73,Háttértáblák!$U$2:$V$330,2,0)))),"")</f>
        <v/>
      </c>
      <c r="I73" s="97" t="str">
        <f t="shared" si="5"/>
        <v>_</v>
      </c>
      <c r="J73" s="97" t="e">
        <f>IF(#REF!="","",E73&amp;"_"&amp;IF(#REF!=0.5,"fél_év",#REF!))</f>
        <v>#REF!</v>
      </c>
      <c r="K73" s="97" t="str">
        <f>IF(E73="_2019_2020_ősz",VLOOKUP(F73,#REF!,4,0),IF(OR(E73="_2018_2019_ősz",E73="_2018_2019_keresztfélév"),VLOOKUP(F73,#REF!,4,0),IF(E73="_2017_2018_keresztfélév",VLOOKUP(F73,#REF!,4,0),IF(E73="_2017_2018_ősz",VLOOKUP(F73,#REF!,4,0),IF(OR(E73="_2016_2017_ősz",E73="_2016_2017_keresztfélév"),VLOOKUP(F73,#REF!,4,0),"HIBA!")))))</f>
        <v>HIBA!</v>
      </c>
      <c r="L73" s="143" t="e">
        <f>H73&amp;" "&amp;#REF!</f>
        <v>#REF!</v>
      </c>
      <c r="M73" s="136">
        <f>'Támogatás szorzat tényezői'!$C$19*('Támogatás szorzat tényezői'!$C$16/'Támogatás szorzat tényezői'!$C$14)</f>
        <v>120000</v>
      </c>
      <c r="N73" s="98">
        <f t="shared" si="6"/>
        <v>0</v>
      </c>
      <c r="O73" s="120">
        <f t="shared" si="7"/>
        <v>0</v>
      </c>
      <c r="P73" s="325"/>
      <c r="Q73" s="249">
        <f t="shared" si="8"/>
        <v>0</v>
      </c>
      <c r="R73" s="326" t="str">
        <f t="shared" si="9"/>
        <v/>
      </c>
    </row>
    <row r="74" spans="1:18" ht="30" customHeight="1" x14ac:dyDescent="0.25">
      <c r="A74" s="227"/>
      <c r="B74" s="323" t="s">
        <v>1780</v>
      </c>
      <c r="C74" s="100"/>
      <c r="D74" s="100"/>
      <c r="E74" s="102"/>
      <c r="F74" s="100"/>
      <c r="G74" s="102"/>
      <c r="H74" s="97" t="str">
        <f>IFERROR(IF(E74="_2017_2018_ősz",VLOOKUP(F74,Háttértáblák!$L$2:$M$331,2,0),IF(E74="_2017_2018_keresztfélév",VLOOKUP(F74,Háttértáblák!$N$2:$O$326,2,0),IF(OR(E74="_2018_2019_ősz",E74="_2019_2020_ősz"),VLOOKUP(F74,Háttértáblák!$S$2:$T$334,2,0),VLOOKUP(F74,Háttértáblák!$U$2:$V$330,2,0)))),"")</f>
        <v/>
      </c>
      <c r="I74" s="97" t="str">
        <f t="shared" si="5"/>
        <v>_</v>
      </c>
      <c r="J74" s="97" t="e">
        <f>IF(#REF!="","",E74&amp;"_"&amp;IF(#REF!=0.5,"fél_év",#REF!))</f>
        <v>#REF!</v>
      </c>
      <c r="K74" s="97" t="str">
        <f>IF(E74="_2019_2020_ősz",VLOOKUP(F74,#REF!,4,0),IF(OR(E74="_2018_2019_ősz",E74="_2018_2019_keresztfélév"),VLOOKUP(F74,#REF!,4,0),IF(E74="_2017_2018_keresztfélév",VLOOKUP(F74,#REF!,4,0),IF(E74="_2017_2018_ősz",VLOOKUP(F74,#REF!,4,0),IF(OR(E74="_2016_2017_ősz",E74="_2016_2017_keresztfélév"),VLOOKUP(F74,#REF!,4,0),"HIBA!")))))</f>
        <v>HIBA!</v>
      </c>
      <c r="L74" s="143" t="e">
        <f>H74&amp;" "&amp;#REF!</f>
        <v>#REF!</v>
      </c>
      <c r="M74" s="136">
        <f>'Támogatás szorzat tényezői'!$C$19*('Támogatás szorzat tényezői'!$C$16/'Támogatás szorzat tényezői'!$C$14)</f>
        <v>120000</v>
      </c>
      <c r="N74" s="98">
        <f t="shared" si="6"/>
        <v>0</v>
      </c>
      <c r="O74" s="120">
        <f t="shared" si="7"/>
        <v>0</v>
      </c>
      <c r="P74" s="325"/>
      <c r="Q74" s="249">
        <f t="shared" si="8"/>
        <v>0</v>
      </c>
      <c r="R74" s="326" t="str">
        <f t="shared" si="9"/>
        <v/>
      </c>
    </row>
    <row r="75" spans="1:18" ht="30" customHeight="1" x14ac:dyDescent="0.25">
      <c r="A75" s="227"/>
      <c r="B75" s="323" t="s">
        <v>1780</v>
      </c>
      <c r="C75" s="100"/>
      <c r="D75" s="100"/>
      <c r="E75" s="102"/>
      <c r="F75" s="100"/>
      <c r="G75" s="102"/>
      <c r="H75" s="97" t="str">
        <f>IFERROR(IF(E75="_2017_2018_ősz",VLOOKUP(F75,Háttértáblák!$L$2:$M$331,2,0),IF(E75="_2017_2018_keresztfélév",VLOOKUP(F75,Háttértáblák!$N$2:$O$326,2,0),IF(OR(E75="_2018_2019_ősz",E75="_2019_2020_ősz"),VLOOKUP(F75,Háttértáblák!$S$2:$T$334,2,0),VLOOKUP(F75,Háttértáblák!$U$2:$V$330,2,0)))),"")</f>
        <v/>
      </c>
      <c r="I75" s="97" t="str">
        <f t="shared" si="5"/>
        <v>_</v>
      </c>
      <c r="J75" s="97" t="e">
        <f>IF(#REF!="","",E75&amp;"_"&amp;IF(#REF!=0.5,"fél_év",#REF!))</f>
        <v>#REF!</v>
      </c>
      <c r="K75" s="97" t="str">
        <f>IF(E75="_2019_2020_ősz",VLOOKUP(F75,#REF!,4,0),IF(OR(E75="_2018_2019_ősz",E75="_2018_2019_keresztfélév"),VLOOKUP(F75,#REF!,4,0),IF(E75="_2017_2018_keresztfélév",VLOOKUP(F75,#REF!,4,0),IF(E75="_2017_2018_ősz",VLOOKUP(F75,#REF!,4,0),IF(OR(E75="_2016_2017_ősz",E75="_2016_2017_keresztfélév"),VLOOKUP(F75,#REF!,4,0),"HIBA!")))))</f>
        <v>HIBA!</v>
      </c>
      <c r="L75" s="143" t="e">
        <f>H75&amp;" "&amp;#REF!</f>
        <v>#REF!</v>
      </c>
      <c r="M75" s="136">
        <f>'Támogatás szorzat tényezői'!$C$19*('Támogatás szorzat tényezői'!$C$16/'Támogatás szorzat tényezői'!$C$14)</f>
        <v>120000</v>
      </c>
      <c r="N75" s="98">
        <f t="shared" si="6"/>
        <v>0</v>
      </c>
      <c r="O75" s="120">
        <f t="shared" si="7"/>
        <v>0</v>
      </c>
      <c r="P75" s="325"/>
      <c r="Q75" s="249">
        <f t="shared" si="8"/>
        <v>0</v>
      </c>
      <c r="R75" s="326" t="str">
        <f t="shared" si="9"/>
        <v/>
      </c>
    </row>
    <row r="76" spans="1:18" ht="30" customHeight="1" x14ac:dyDescent="0.25">
      <c r="A76" s="227"/>
      <c r="B76" s="323" t="s">
        <v>1780</v>
      </c>
      <c r="C76" s="100"/>
      <c r="D76" s="100"/>
      <c r="E76" s="102"/>
      <c r="F76" s="100"/>
      <c r="G76" s="102"/>
      <c r="H76" s="97" t="str">
        <f>IFERROR(IF(E76="_2017_2018_ősz",VLOOKUP(F76,Háttértáblák!$L$2:$M$331,2,0),IF(E76="_2017_2018_keresztfélév",VLOOKUP(F76,Háttértáblák!$N$2:$O$326,2,0),IF(OR(E76="_2018_2019_ősz",E76="_2019_2020_ősz"),VLOOKUP(F76,Háttértáblák!$S$2:$T$334,2,0),VLOOKUP(F76,Háttértáblák!$U$2:$V$330,2,0)))),"")</f>
        <v/>
      </c>
      <c r="I76" s="97" t="str">
        <f t="shared" si="5"/>
        <v>_</v>
      </c>
      <c r="J76" s="97" t="e">
        <f>IF(#REF!="","",E76&amp;"_"&amp;IF(#REF!=0.5,"fél_év",#REF!))</f>
        <v>#REF!</v>
      </c>
      <c r="K76" s="97" t="str">
        <f>IF(E76="_2019_2020_ősz",VLOOKUP(F76,#REF!,4,0),IF(OR(E76="_2018_2019_ősz",E76="_2018_2019_keresztfélév"),VLOOKUP(F76,#REF!,4,0),IF(E76="_2017_2018_keresztfélév",VLOOKUP(F76,#REF!,4,0),IF(E76="_2017_2018_ősz",VLOOKUP(F76,#REF!,4,0),IF(OR(E76="_2016_2017_ősz",E76="_2016_2017_keresztfélév"),VLOOKUP(F76,#REF!,4,0),"HIBA!")))))</f>
        <v>HIBA!</v>
      </c>
      <c r="L76" s="143" t="e">
        <f>H76&amp;" "&amp;#REF!</f>
        <v>#REF!</v>
      </c>
      <c r="M76" s="136">
        <f>'Támogatás szorzat tényezői'!$C$19*('Támogatás szorzat tényezői'!$C$16/'Támogatás szorzat tényezői'!$C$14)</f>
        <v>120000</v>
      </c>
      <c r="N76" s="98">
        <f t="shared" si="6"/>
        <v>0</v>
      </c>
      <c r="O76" s="120">
        <f t="shared" si="7"/>
        <v>0</v>
      </c>
      <c r="P76" s="325"/>
      <c r="Q76" s="249">
        <f t="shared" si="8"/>
        <v>0</v>
      </c>
      <c r="R76" s="326" t="str">
        <f t="shared" si="9"/>
        <v/>
      </c>
    </row>
    <row r="77" spans="1:18" ht="30" customHeight="1" x14ac:dyDescent="0.25">
      <c r="A77" s="227"/>
      <c r="B77" s="323" t="s">
        <v>1780</v>
      </c>
      <c r="C77" s="100"/>
      <c r="D77" s="100"/>
      <c r="E77" s="102"/>
      <c r="F77" s="100"/>
      <c r="G77" s="102"/>
      <c r="H77" s="97" t="str">
        <f>IFERROR(IF(E77="_2017_2018_ősz",VLOOKUP(F77,Háttértáblák!$L$2:$M$331,2,0),IF(E77="_2017_2018_keresztfélév",VLOOKUP(F77,Háttértáblák!$N$2:$O$326,2,0),IF(OR(E77="_2018_2019_ősz",E77="_2019_2020_ősz"),VLOOKUP(F77,Háttértáblák!$S$2:$T$334,2,0),VLOOKUP(F77,Háttértáblák!$U$2:$V$330,2,0)))),"")</f>
        <v/>
      </c>
      <c r="I77" s="97" t="str">
        <f t="shared" si="5"/>
        <v>_</v>
      </c>
      <c r="J77" s="97" t="e">
        <f>IF(#REF!="","",E77&amp;"_"&amp;IF(#REF!=0.5,"fél_év",#REF!))</f>
        <v>#REF!</v>
      </c>
      <c r="K77" s="97" t="str">
        <f>IF(E77="_2019_2020_ősz",VLOOKUP(F77,#REF!,4,0),IF(OR(E77="_2018_2019_ősz",E77="_2018_2019_keresztfélév"),VLOOKUP(F77,#REF!,4,0),IF(E77="_2017_2018_keresztfélév",VLOOKUP(F77,#REF!,4,0),IF(E77="_2017_2018_ősz",VLOOKUP(F77,#REF!,4,0),IF(OR(E77="_2016_2017_ősz",E77="_2016_2017_keresztfélév"),VLOOKUP(F77,#REF!,4,0),"HIBA!")))))</f>
        <v>HIBA!</v>
      </c>
      <c r="L77" s="143" t="e">
        <f>H77&amp;" "&amp;#REF!</f>
        <v>#REF!</v>
      </c>
      <c r="M77" s="136">
        <f>'Támogatás szorzat tényezői'!$C$19*('Támogatás szorzat tényezői'!$C$16/'Támogatás szorzat tényezői'!$C$14)</f>
        <v>120000</v>
      </c>
      <c r="N77" s="98">
        <f t="shared" si="6"/>
        <v>0</v>
      </c>
      <c r="O77" s="120">
        <f t="shared" si="7"/>
        <v>0</v>
      </c>
      <c r="P77" s="325"/>
      <c r="Q77" s="249">
        <f t="shared" si="8"/>
        <v>0</v>
      </c>
      <c r="R77" s="326" t="str">
        <f t="shared" si="9"/>
        <v/>
      </c>
    </row>
    <row r="78" spans="1:18" ht="30" customHeight="1" x14ac:dyDescent="0.25">
      <c r="A78" s="227"/>
      <c r="B78" s="323" t="s">
        <v>1780</v>
      </c>
      <c r="C78" s="100"/>
      <c r="D78" s="100"/>
      <c r="E78" s="102"/>
      <c r="F78" s="100"/>
      <c r="G78" s="102"/>
      <c r="H78" s="97" t="str">
        <f>IFERROR(IF(E78="_2017_2018_ősz",VLOOKUP(F78,Háttértáblák!$L$2:$M$331,2,0),IF(E78="_2017_2018_keresztfélév",VLOOKUP(F78,Háttértáblák!$N$2:$O$326,2,0),IF(OR(E78="_2018_2019_ősz",E78="_2019_2020_ősz"),VLOOKUP(F78,Háttértáblák!$S$2:$T$334,2,0),VLOOKUP(F78,Háttértáblák!$U$2:$V$330,2,0)))),"")</f>
        <v/>
      </c>
      <c r="I78" s="97" t="str">
        <f t="shared" si="5"/>
        <v>_</v>
      </c>
      <c r="J78" s="97" t="e">
        <f>IF(#REF!="","",E78&amp;"_"&amp;IF(#REF!=0.5,"fél_év",#REF!))</f>
        <v>#REF!</v>
      </c>
      <c r="K78" s="97" t="str">
        <f>IF(E78="_2019_2020_ősz",VLOOKUP(F78,#REF!,4,0),IF(OR(E78="_2018_2019_ősz",E78="_2018_2019_keresztfélév"),VLOOKUP(F78,#REF!,4,0),IF(E78="_2017_2018_keresztfélév",VLOOKUP(F78,#REF!,4,0),IF(E78="_2017_2018_ősz",VLOOKUP(F78,#REF!,4,0),IF(OR(E78="_2016_2017_ősz",E78="_2016_2017_keresztfélév"),VLOOKUP(F78,#REF!,4,0),"HIBA!")))))</f>
        <v>HIBA!</v>
      </c>
      <c r="L78" s="143" t="e">
        <f>H78&amp;" "&amp;#REF!</f>
        <v>#REF!</v>
      </c>
      <c r="M78" s="136">
        <f>'Támogatás szorzat tényezői'!$C$19*('Támogatás szorzat tényezői'!$C$16/'Támogatás szorzat tényezői'!$C$14)</f>
        <v>120000</v>
      </c>
      <c r="N78" s="98">
        <f t="shared" si="6"/>
        <v>0</v>
      </c>
      <c r="O78" s="120">
        <f t="shared" si="7"/>
        <v>0</v>
      </c>
      <c r="P78" s="325"/>
      <c r="Q78" s="249">
        <f t="shared" si="8"/>
        <v>0</v>
      </c>
      <c r="R78" s="326" t="str">
        <f t="shared" si="9"/>
        <v/>
      </c>
    </row>
    <row r="79" spans="1:18" ht="30" customHeight="1" x14ac:dyDescent="0.25">
      <c r="A79" s="227"/>
      <c r="B79" s="323" t="s">
        <v>1780</v>
      </c>
      <c r="C79" s="100"/>
      <c r="D79" s="100"/>
      <c r="E79" s="102"/>
      <c r="F79" s="100"/>
      <c r="G79" s="102"/>
      <c r="H79" s="97" t="str">
        <f>IFERROR(IF(E79="_2017_2018_ősz",VLOOKUP(F79,Háttértáblák!$L$2:$M$331,2,0),IF(E79="_2017_2018_keresztfélév",VLOOKUP(F79,Háttértáblák!$N$2:$O$326,2,0),IF(OR(E79="_2018_2019_ősz",E79="_2019_2020_ősz"),VLOOKUP(F79,Háttértáblák!$S$2:$T$334,2,0),VLOOKUP(F79,Háttértáblák!$U$2:$V$330,2,0)))),"")</f>
        <v/>
      </c>
      <c r="I79" s="97" t="str">
        <f t="shared" si="5"/>
        <v>_</v>
      </c>
      <c r="J79" s="97" t="e">
        <f>IF(#REF!="","",E79&amp;"_"&amp;IF(#REF!=0.5,"fél_év",#REF!))</f>
        <v>#REF!</v>
      </c>
      <c r="K79" s="97" t="str">
        <f>IF(E79="_2019_2020_ősz",VLOOKUP(F79,#REF!,4,0),IF(OR(E79="_2018_2019_ősz",E79="_2018_2019_keresztfélév"),VLOOKUP(F79,#REF!,4,0),IF(E79="_2017_2018_keresztfélév",VLOOKUP(F79,#REF!,4,0),IF(E79="_2017_2018_ősz",VLOOKUP(F79,#REF!,4,0),IF(OR(E79="_2016_2017_ősz",E79="_2016_2017_keresztfélév"),VLOOKUP(F79,#REF!,4,0),"HIBA!")))))</f>
        <v>HIBA!</v>
      </c>
      <c r="L79" s="143" t="e">
        <f>H79&amp;" "&amp;#REF!</f>
        <v>#REF!</v>
      </c>
      <c r="M79" s="136">
        <f>'Támogatás szorzat tényezői'!$C$19*('Támogatás szorzat tényezői'!$C$16/'Támogatás szorzat tényezői'!$C$14)</f>
        <v>120000</v>
      </c>
      <c r="N79" s="98">
        <f t="shared" si="6"/>
        <v>0</v>
      </c>
      <c r="O79" s="120">
        <f t="shared" si="7"/>
        <v>0</v>
      </c>
      <c r="P79" s="325"/>
      <c r="Q79" s="249">
        <f t="shared" si="8"/>
        <v>0</v>
      </c>
      <c r="R79" s="326" t="str">
        <f t="shared" si="9"/>
        <v/>
      </c>
    </row>
    <row r="80" spans="1:18" ht="30" customHeight="1" x14ac:dyDescent="0.25">
      <c r="A80" s="227"/>
      <c r="B80" s="323" t="s">
        <v>1780</v>
      </c>
      <c r="C80" s="100"/>
      <c r="D80" s="100"/>
      <c r="E80" s="102"/>
      <c r="F80" s="100"/>
      <c r="G80" s="102"/>
      <c r="H80" s="97" t="str">
        <f>IFERROR(IF(E80="_2017_2018_ősz",VLOOKUP(F80,Háttértáblák!$L$2:$M$331,2,0),IF(E80="_2017_2018_keresztfélév",VLOOKUP(F80,Háttértáblák!$N$2:$O$326,2,0),IF(OR(E80="_2018_2019_ősz",E80="_2019_2020_ősz"),VLOOKUP(F80,Háttértáblák!$S$2:$T$334,2,0),VLOOKUP(F80,Háttértáblák!$U$2:$V$330,2,0)))),"")</f>
        <v/>
      </c>
      <c r="I80" s="97" t="str">
        <f t="shared" si="5"/>
        <v>_</v>
      </c>
      <c r="J80" s="97" t="e">
        <f>IF(#REF!="","",E80&amp;"_"&amp;IF(#REF!=0.5,"fél_év",#REF!))</f>
        <v>#REF!</v>
      </c>
      <c r="K80" s="97" t="str">
        <f>IF(E80="_2019_2020_ősz",VLOOKUP(F80,#REF!,4,0),IF(OR(E80="_2018_2019_ősz",E80="_2018_2019_keresztfélév"),VLOOKUP(F80,#REF!,4,0),IF(E80="_2017_2018_keresztfélév",VLOOKUP(F80,#REF!,4,0),IF(E80="_2017_2018_ősz",VLOOKUP(F80,#REF!,4,0),IF(OR(E80="_2016_2017_ősz",E80="_2016_2017_keresztfélév"),VLOOKUP(F80,#REF!,4,0),"HIBA!")))))</f>
        <v>HIBA!</v>
      </c>
      <c r="L80" s="143" t="e">
        <f>H80&amp;" "&amp;#REF!</f>
        <v>#REF!</v>
      </c>
      <c r="M80" s="136">
        <f>'Támogatás szorzat tényezői'!$C$19*('Támogatás szorzat tényezői'!$C$16/'Támogatás szorzat tényezői'!$C$14)</f>
        <v>120000</v>
      </c>
      <c r="N80" s="98">
        <f t="shared" si="6"/>
        <v>0</v>
      </c>
      <c r="O80" s="120">
        <f t="shared" si="7"/>
        <v>0</v>
      </c>
      <c r="P80" s="325"/>
      <c r="Q80" s="249">
        <f t="shared" si="8"/>
        <v>0</v>
      </c>
      <c r="R80" s="326" t="str">
        <f t="shared" si="9"/>
        <v/>
      </c>
    </row>
    <row r="81" spans="1:18" ht="30" customHeight="1" x14ac:dyDescent="0.25">
      <c r="A81" s="227"/>
      <c r="B81" s="323" t="s">
        <v>1780</v>
      </c>
      <c r="C81" s="100"/>
      <c r="D81" s="100"/>
      <c r="E81" s="102"/>
      <c r="F81" s="100"/>
      <c r="G81" s="102"/>
      <c r="H81" s="97" t="str">
        <f>IFERROR(IF(E81="_2017_2018_ősz",VLOOKUP(F81,Háttértáblák!$L$2:$M$331,2,0),IF(E81="_2017_2018_keresztfélév",VLOOKUP(F81,Háttértáblák!$N$2:$O$326,2,0),IF(OR(E81="_2018_2019_ősz",E81="_2019_2020_ősz"),VLOOKUP(F81,Háttértáblák!$S$2:$T$334,2,0),VLOOKUP(F81,Háttértáblák!$U$2:$V$330,2,0)))),"")</f>
        <v/>
      </c>
      <c r="I81" s="97" t="str">
        <f t="shared" si="5"/>
        <v>_</v>
      </c>
      <c r="J81" s="97" t="e">
        <f>IF(#REF!="","",E81&amp;"_"&amp;IF(#REF!=0.5,"fél_év",#REF!))</f>
        <v>#REF!</v>
      </c>
      <c r="K81" s="97" t="str">
        <f>IF(E81="_2019_2020_ősz",VLOOKUP(F81,#REF!,4,0),IF(OR(E81="_2018_2019_ősz",E81="_2018_2019_keresztfélév"),VLOOKUP(F81,#REF!,4,0),IF(E81="_2017_2018_keresztfélév",VLOOKUP(F81,#REF!,4,0),IF(E81="_2017_2018_ősz",VLOOKUP(F81,#REF!,4,0),IF(OR(E81="_2016_2017_ősz",E81="_2016_2017_keresztfélév"),VLOOKUP(F81,#REF!,4,0),"HIBA!")))))</f>
        <v>HIBA!</v>
      </c>
      <c r="L81" s="143" t="e">
        <f>H81&amp;" "&amp;#REF!</f>
        <v>#REF!</v>
      </c>
      <c r="M81" s="136">
        <f>'Támogatás szorzat tényezői'!$C$19*('Támogatás szorzat tényezői'!$C$16/'Támogatás szorzat tényezői'!$C$14)</f>
        <v>120000</v>
      </c>
      <c r="N81" s="98">
        <f t="shared" si="6"/>
        <v>0</v>
      </c>
      <c r="O81" s="120">
        <f t="shared" si="7"/>
        <v>0</v>
      </c>
      <c r="P81" s="325"/>
      <c r="Q81" s="249">
        <f t="shared" si="8"/>
        <v>0</v>
      </c>
      <c r="R81" s="326" t="str">
        <f t="shared" si="9"/>
        <v/>
      </c>
    </row>
    <row r="82" spans="1:18" ht="30" customHeight="1" x14ac:dyDescent="0.25">
      <c r="A82" s="227"/>
      <c r="B82" s="323" t="s">
        <v>1780</v>
      </c>
      <c r="C82" s="100"/>
      <c r="D82" s="100"/>
      <c r="E82" s="102"/>
      <c r="F82" s="100"/>
      <c r="G82" s="102"/>
      <c r="H82" s="97" t="str">
        <f>IFERROR(IF(E82="_2017_2018_ősz",VLOOKUP(F82,Háttértáblák!$L$2:$M$331,2,0),IF(E82="_2017_2018_keresztfélév",VLOOKUP(F82,Háttértáblák!$N$2:$O$326,2,0),IF(OR(E82="_2018_2019_ősz",E82="_2019_2020_ősz"),VLOOKUP(F82,Háttértáblák!$S$2:$T$334,2,0),VLOOKUP(F82,Háttértáblák!$U$2:$V$330,2,0)))),"")</f>
        <v/>
      </c>
      <c r="I82" s="97" t="str">
        <f t="shared" si="5"/>
        <v>_</v>
      </c>
      <c r="J82" s="97" t="e">
        <f>IF(#REF!="","",E82&amp;"_"&amp;IF(#REF!=0.5,"fél_év",#REF!))</f>
        <v>#REF!</v>
      </c>
      <c r="K82" s="97" t="str">
        <f>IF(E82="_2019_2020_ősz",VLOOKUP(F82,#REF!,4,0),IF(OR(E82="_2018_2019_ősz",E82="_2018_2019_keresztfélév"),VLOOKUP(F82,#REF!,4,0),IF(E82="_2017_2018_keresztfélév",VLOOKUP(F82,#REF!,4,0),IF(E82="_2017_2018_ősz",VLOOKUP(F82,#REF!,4,0),IF(OR(E82="_2016_2017_ősz",E82="_2016_2017_keresztfélév"),VLOOKUP(F82,#REF!,4,0),"HIBA!")))))</f>
        <v>HIBA!</v>
      </c>
      <c r="L82" s="143" t="e">
        <f>H82&amp;" "&amp;#REF!</f>
        <v>#REF!</v>
      </c>
      <c r="M82" s="136">
        <f>'Támogatás szorzat tényezői'!$C$19*('Támogatás szorzat tényezői'!$C$16/'Támogatás szorzat tényezői'!$C$14)</f>
        <v>120000</v>
      </c>
      <c r="N82" s="98">
        <f t="shared" si="6"/>
        <v>0</v>
      </c>
      <c r="O82" s="120">
        <f t="shared" si="7"/>
        <v>0</v>
      </c>
      <c r="P82" s="325"/>
      <c r="Q82" s="249">
        <f t="shared" si="8"/>
        <v>0</v>
      </c>
      <c r="R82" s="326" t="str">
        <f t="shared" si="9"/>
        <v/>
      </c>
    </row>
    <row r="83" spans="1:18" ht="30" customHeight="1" x14ac:dyDescent="0.25">
      <c r="A83" s="227"/>
      <c r="B83" s="323" t="s">
        <v>1780</v>
      </c>
      <c r="C83" s="100"/>
      <c r="D83" s="100"/>
      <c r="E83" s="102"/>
      <c r="F83" s="100"/>
      <c r="G83" s="102"/>
      <c r="H83" s="97" t="str">
        <f>IFERROR(IF(E83="_2017_2018_ősz",VLOOKUP(F83,Háttértáblák!$L$2:$M$331,2,0),IF(E83="_2017_2018_keresztfélév",VLOOKUP(F83,Háttértáblák!$N$2:$O$326,2,0),IF(OR(E83="_2018_2019_ősz",E83="_2019_2020_ősz"),VLOOKUP(F83,Háttértáblák!$S$2:$T$334,2,0),VLOOKUP(F83,Háttértáblák!$U$2:$V$330,2,0)))),"")</f>
        <v/>
      </c>
      <c r="I83" s="97" t="str">
        <f t="shared" si="5"/>
        <v>_</v>
      </c>
      <c r="J83" s="97" t="e">
        <f>IF(#REF!="","",E83&amp;"_"&amp;IF(#REF!=0.5,"fél_év",#REF!))</f>
        <v>#REF!</v>
      </c>
      <c r="K83" s="97" t="str">
        <f>IF(E83="_2019_2020_ősz",VLOOKUP(F83,#REF!,4,0),IF(OR(E83="_2018_2019_ősz",E83="_2018_2019_keresztfélév"),VLOOKUP(F83,#REF!,4,0),IF(E83="_2017_2018_keresztfélév",VLOOKUP(F83,#REF!,4,0),IF(E83="_2017_2018_ősz",VLOOKUP(F83,#REF!,4,0),IF(OR(E83="_2016_2017_ősz",E83="_2016_2017_keresztfélév"),VLOOKUP(F83,#REF!,4,0),"HIBA!")))))</f>
        <v>HIBA!</v>
      </c>
      <c r="L83" s="143" t="e">
        <f>H83&amp;" "&amp;#REF!</f>
        <v>#REF!</v>
      </c>
      <c r="M83" s="136">
        <f>'Támogatás szorzat tényezői'!$C$19*('Támogatás szorzat tényezői'!$C$16/'Támogatás szorzat tényezői'!$C$14)</f>
        <v>120000</v>
      </c>
      <c r="N83" s="98">
        <f t="shared" si="6"/>
        <v>0</v>
      </c>
      <c r="O83" s="120">
        <f t="shared" si="7"/>
        <v>0</v>
      </c>
      <c r="P83" s="325"/>
      <c r="Q83" s="249">
        <f t="shared" si="8"/>
        <v>0</v>
      </c>
      <c r="R83" s="326" t="str">
        <f t="shared" si="9"/>
        <v/>
      </c>
    </row>
    <row r="84" spans="1:18" ht="30" customHeight="1" x14ac:dyDescent="0.25">
      <c r="A84" s="227"/>
      <c r="B84" s="323" t="s">
        <v>1780</v>
      </c>
      <c r="C84" s="100"/>
      <c r="D84" s="100"/>
      <c r="E84" s="102"/>
      <c r="F84" s="100"/>
      <c r="G84" s="102"/>
      <c r="H84" s="97" t="str">
        <f>IFERROR(IF(E84="_2017_2018_ősz",VLOOKUP(F84,Háttértáblák!$L$2:$M$331,2,0),IF(E84="_2017_2018_keresztfélév",VLOOKUP(F84,Háttértáblák!$N$2:$O$326,2,0),IF(OR(E84="_2018_2019_ősz",E84="_2019_2020_ősz"),VLOOKUP(F84,Háttértáblák!$S$2:$T$334,2,0),VLOOKUP(F84,Háttértáblák!$U$2:$V$330,2,0)))),"")</f>
        <v/>
      </c>
      <c r="I84" s="97" t="str">
        <f t="shared" si="5"/>
        <v>_</v>
      </c>
      <c r="J84" s="97" t="e">
        <f>IF(#REF!="","",E84&amp;"_"&amp;IF(#REF!=0.5,"fél_év",#REF!))</f>
        <v>#REF!</v>
      </c>
      <c r="K84" s="97" t="str">
        <f>IF(E84="_2019_2020_ősz",VLOOKUP(F84,#REF!,4,0),IF(OR(E84="_2018_2019_ősz",E84="_2018_2019_keresztfélév"),VLOOKUP(F84,#REF!,4,0),IF(E84="_2017_2018_keresztfélév",VLOOKUP(F84,#REF!,4,0),IF(E84="_2017_2018_ősz",VLOOKUP(F84,#REF!,4,0),IF(OR(E84="_2016_2017_ősz",E84="_2016_2017_keresztfélév"),VLOOKUP(F84,#REF!,4,0),"HIBA!")))))</f>
        <v>HIBA!</v>
      </c>
      <c r="L84" s="143" t="e">
        <f>H84&amp;" "&amp;#REF!</f>
        <v>#REF!</v>
      </c>
      <c r="M84" s="136">
        <f>'Támogatás szorzat tényezői'!$C$19*('Támogatás szorzat tényezői'!$C$16/'Támogatás szorzat tényezői'!$C$14)</f>
        <v>120000</v>
      </c>
      <c r="N84" s="98">
        <f t="shared" si="6"/>
        <v>0</v>
      </c>
      <c r="O84" s="120">
        <f t="shared" si="7"/>
        <v>0</v>
      </c>
      <c r="P84" s="325"/>
      <c r="Q84" s="249">
        <f t="shared" si="8"/>
        <v>0</v>
      </c>
      <c r="R84" s="326" t="str">
        <f t="shared" si="9"/>
        <v/>
      </c>
    </row>
    <row r="85" spans="1:18" ht="30" customHeight="1" x14ac:dyDescent="0.25">
      <c r="A85" s="227"/>
      <c r="B85" s="323" t="s">
        <v>1780</v>
      </c>
      <c r="C85" s="100"/>
      <c r="D85" s="100"/>
      <c r="E85" s="102"/>
      <c r="F85" s="100"/>
      <c r="G85" s="102"/>
      <c r="H85" s="97" t="str">
        <f>IFERROR(IF(E85="_2017_2018_ősz",VLOOKUP(F85,Háttértáblák!$L$2:$M$331,2,0),IF(E85="_2017_2018_keresztfélév",VLOOKUP(F85,Háttértáblák!$N$2:$O$326,2,0),IF(OR(E85="_2018_2019_ősz",E85="_2019_2020_ősz"),VLOOKUP(F85,Háttértáblák!$S$2:$T$334,2,0),VLOOKUP(F85,Háttértáblák!$U$2:$V$330,2,0)))),"")</f>
        <v/>
      </c>
      <c r="I85" s="97" t="str">
        <f t="shared" si="5"/>
        <v>_</v>
      </c>
      <c r="J85" s="97" t="e">
        <f>IF(#REF!="","",E85&amp;"_"&amp;IF(#REF!=0.5,"fél_év",#REF!))</f>
        <v>#REF!</v>
      </c>
      <c r="K85" s="97" t="str">
        <f>IF(E85="_2019_2020_ősz",VLOOKUP(F85,#REF!,4,0),IF(OR(E85="_2018_2019_ősz",E85="_2018_2019_keresztfélév"),VLOOKUP(F85,#REF!,4,0),IF(E85="_2017_2018_keresztfélév",VLOOKUP(F85,#REF!,4,0),IF(E85="_2017_2018_ősz",VLOOKUP(F85,#REF!,4,0),IF(OR(E85="_2016_2017_ősz",E85="_2016_2017_keresztfélév"),VLOOKUP(F85,#REF!,4,0),"HIBA!")))))</f>
        <v>HIBA!</v>
      </c>
      <c r="L85" s="143" t="e">
        <f>H85&amp;" "&amp;#REF!</f>
        <v>#REF!</v>
      </c>
      <c r="M85" s="136">
        <f>'Támogatás szorzat tényezői'!$C$19*('Támogatás szorzat tényezői'!$C$16/'Támogatás szorzat tényezői'!$C$14)</f>
        <v>120000</v>
      </c>
      <c r="N85" s="98">
        <f t="shared" si="6"/>
        <v>0</v>
      </c>
      <c r="O85" s="120">
        <f t="shared" si="7"/>
        <v>0</v>
      </c>
      <c r="P85" s="325"/>
      <c r="Q85" s="249">
        <f t="shared" si="8"/>
        <v>0</v>
      </c>
      <c r="R85" s="326" t="str">
        <f t="shared" si="9"/>
        <v/>
      </c>
    </row>
    <row r="86" spans="1:18" ht="30" customHeight="1" x14ac:dyDescent="0.25">
      <c r="A86" s="227"/>
      <c r="B86" s="323" t="s">
        <v>1780</v>
      </c>
      <c r="C86" s="100"/>
      <c r="D86" s="100"/>
      <c r="E86" s="102"/>
      <c r="F86" s="100"/>
      <c r="G86" s="102"/>
      <c r="H86" s="97" t="str">
        <f>IFERROR(IF(E86="_2017_2018_ősz",VLOOKUP(F86,Háttértáblák!$L$2:$M$331,2,0),IF(E86="_2017_2018_keresztfélév",VLOOKUP(F86,Háttértáblák!$N$2:$O$326,2,0),IF(OR(E86="_2018_2019_ősz",E86="_2019_2020_ősz"),VLOOKUP(F86,Háttértáblák!$S$2:$T$334,2,0),VLOOKUP(F86,Háttértáblák!$U$2:$V$330,2,0)))),"")</f>
        <v/>
      </c>
      <c r="I86" s="97" t="str">
        <f t="shared" si="5"/>
        <v>_</v>
      </c>
      <c r="J86" s="97" t="e">
        <f>IF(#REF!="","",E86&amp;"_"&amp;IF(#REF!=0.5,"fél_év",#REF!))</f>
        <v>#REF!</v>
      </c>
      <c r="K86" s="97" t="str">
        <f>IF(E86="_2019_2020_ősz",VLOOKUP(F86,#REF!,4,0),IF(OR(E86="_2018_2019_ősz",E86="_2018_2019_keresztfélév"),VLOOKUP(F86,#REF!,4,0),IF(E86="_2017_2018_keresztfélév",VLOOKUP(F86,#REF!,4,0),IF(E86="_2017_2018_ősz",VLOOKUP(F86,#REF!,4,0),IF(OR(E86="_2016_2017_ősz",E86="_2016_2017_keresztfélév"),VLOOKUP(F86,#REF!,4,0),"HIBA!")))))</f>
        <v>HIBA!</v>
      </c>
      <c r="L86" s="143" t="e">
        <f>H86&amp;" "&amp;#REF!</f>
        <v>#REF!</v>
      </c>
      <c r="M86" s="136">
        <f>'Támogatás szorzat tényezői'!$C$19*('Támogatás szorzat tényezői'!$C$16/'Támogatás szorzat tényezői'!$C$14)</f>
        <v>120000</v>
      </c>
      <c r="N86" s="98">
        <f t="shared" si="6"/>
        <v>0</v>
      </c>
      <c r="O86" s="120">
        <f t="shared" si="7"/>
        <v>0</v>
      </c>
      <c r="P86" s="325"/>
      <c r="Q86" s="249">
        <f t="shared" si="8"/>
        <v>0</v>
      </c>
      <c r="R86" s="326" t="str">
        <f t="shared" si="9"/>
        <v/>
      </c>
    </row>
    <row r="87" spans="1:18" ht="30" customHeight="1" x14ac:dyDescent="0.25">
      <c r="A87" s="227"/>
      <c r="B87" s="323" t="s">
        <v>1780</v>
      </c>
      <c r="C87" s="100"/>
      <c r="D87" s="100"/>
      <c r="E87" s="102"/>
      <c r="F87" s="100"/>
      <c r="G87" s="102"/>
      <c r="H87" s="97" t="str">
        <f>IFERROR(IF(E87="_2017_2018_ősz",VLOOKUP(F87,Háttértáblák!$L$2:$M$331,2,0),IF(E87="_2017_2018_keresztfélév",VLOOKUP(F87,Háttértáblák!$N$2:$O$326,2,0),IF(OR(E87="_2018_2019_ősz",E87="_2019_2020_ősz"),VLOOKUP(F87,Háttértáblák!$S$2:$T$334,2,0),VLOOKUP(F87,Háttértáblák!$U$2:$V$330,2,0)))),"")</f>
        <v/>
      </c>
      <c r="I87" s="97" t="str">
        <f t="shared" si="5"/>
        <v>_</v>
      </c>
      <c r="J87" s="97" t="e">
        <f>IF(#REF!="","",E87&amp;"_"&amp;IF(#REF!=0.5,"fél_év",#REF!))</f>
        <v>#REF!</v>
      </c>
      <c r="K87" s="97" t="str">
        <f>IF(E87="_2019_2020_ősz",VLOOKUP(F87,#REF!,4,0),IF(OR(E87="_2018_2019_ősz",E87="_2018_2019_keresztfélév"),VLOOKUP(F87,#REF!,4,0),IF(E87="_2017_2018_keresztfélév",VLOOKUP(F87,#REF!,4,0),IF(E87="_2017_2018_ősz",VLOOKUP(F87,#REF!,4,0),IF(OR(E87="_2016_2017_ősz",E87="_2016_2017_keresztfélév"),VLOOKUP(F87,#REF!,4,0),"HIBA!")))))</f>
        <v>HIBA!</v>
      </c>
      <c r="L87" s="143" t="e">
        <f>H87&amp;" "&amp;#REF!</f>
        <v>#REF!</v>
      </c>
      <c r="M87" s="136">
        <f>'Támogatás szorzat tényezői'!$C$19*('Támogatás szorzat tényezői'!$C$16/'Támogatás szorzat tényezői'!$C$14)</f>
        <v>120000</v>
      </c>
      <c r="N87" s="98">
        <f t="shared" si="6"/>
        <v>0</v>
      </c>
      <c r="O87" s="120">
        <f t="shared" si="7"/>
        <v>0</v>
      </c>
      <c r="P87" s="325"/>
      <c r="Q87" s="249">
        <f t="shared" si="8"/>
        <v>0</v>
      </c>
      <c r="R87" s="326" t="str">
        <f t="shared" si="9"/>
        <v/>
      </c>
    </row>
    <row r="88" spans="1:18" ht="30" customHeight="1" x14ac:dyDescent="0.25">
      <c r="A88" s="227"/>
      <c r="B88" s="323" t="s">
        <v>1780</v>
      </c>
      <c r="C88" s="100"/>
      <c r="D88" s="100"/>
      <c r="E88" s="102"/>
      <c r="F88" s="100"/>
      <c r="G88" s="102"/>
      <c r="H88" s="97" t="str">
        <f>IFERROR(IF(E88="_2017_2018_ősz",VLOOKUP(F88,Háttértáblák!$L$2:$M$331,2,0),IF(E88="_2017_2018_keresztfélév",VLOOKUP(F88,Háttértáblák!$N$2:$O$326,2,0),IF(OR(E88="_2018_2019_ősz",E88="_2019_2020_ősz"),VLOOKUP(F88,Háttértáblák!$S$2:$T$334,2,0),VLOOKUP(F88,Háttértáblák!$U$2:$V$330,2,0)))),"")</f>
        <v/>
      </c>
      <c r="I88" s="97" t="str">
        <f t="shared" si="5"/>
        <v>_</v>
      </c>
      <c r="J88" s="97" t="e">
        <f>IF(#REF!="","",E88&amp;"_"&amp;IF(#REF!=0.5,"fél_év",#REF!))</f>
        <v>#REF!</v>
      </c>
      <c r="K88" s="97" t="str">
        <f>IF(E88="_2019_2020_ősz",VLOOKUP(F88,#REF!,4,0),IF(OR(E88="_2018_2019_ősz",E88="_2018_2019_keresztfélév"),VLOOKUP(F88,#REF!,4,0),IF(E88="_2017_2018_keresztfélév",VLOOKUP(F88,#REF!,4,0),IF(E88="_2017_2018_ősz",VLOOKUP(F88,#REF!,4,0),IF(OR(E88="_2016_2017_ősz",E88="_2016_2017_keresztfélév"),VLOOKUP(F88,#REF!,4,0),"HIBA!")))))</f>
        <v>HIBA!</v>
      </c>
      <c r="L88" s="143" t="e">
        <f>H88&amp;" "&amp;#REF!</f>
        <v>#REF!</v>
      </c>
      <c r="M88" s="136">
        <f>'Támogatás szorzat tényezői'!$C$19*('Támogatás szorzat tényezői'!$C$16/'Támogatás szorzat tényezői'!$C$14)</f>
        <v>120000</v>
      </c>
      <c r="N88" s="98">
        <f t="shared" si="6"/>
        <v>0</v>
      </c>
      <c r="O88" s="120">
        <f t="shared" si="7"/>
        <v>0</v>
      </c>
      <c r="P88" s="325"/>
      <c r="Q88" s="249">
        <f t="shared" si="8"/>
        <v>0</v>
      </c>
      <c r="R88" s="326" t="str">
        <f t="shared" si="9"/>
        <v/>
      </c>
    </row>
    <row r="89" spans="1:18" ht="30" customHeight="1" x14ac:dyDescent="0.25">
      <c r="A89" s="227"/>
      <c r="B89" s="323" t="s">
        <v>1780</v>
      </c>
      <c r="C89" s="100"/>
      <c r="D89" s="100"/>
      <c r="E89" s="102"/>
      <c r="F89" s="100"/>
      <c r="G89" s="102"/>
      <c r="H89" s="97" t="str">
        <f>IFERROR(IF(E89="_2017_2018_ősz",VLOOKUP(F89,Háttértáblák!$L$2:$M$331,2,0),IF(E89="_2017_2018_keresztfélév",VLOOKUP(F89,Háttértáblák!$N$2:$O$326,2,0),IF(OR(E89="_2018_2019_ősz",E89="_2019_2020_ősz"),VLOOKUP(F89,Háttértáblák!$S$2:$T$334,2,0),VLOOKUP(F89,Háttértáblák!$U$2:$V$330,2,0)))),"")</f>
        <v/>
      </c>
      <c r="I89" s="97" t="str">
        <f t="shared" si="5"/>
        <v>_</v>
      </c>
      <c r="J89" s="97" t="e">
        <f>IF(#REF!="","",E89&amp;"_"&amp;IF(#REF!=0.5,"fél_év",#REF!))</f>
        <v>#REF!</v>
      </c>
      <c r="K89" s="97" t="str">
        <f>IF(E89="_2019_2020_ősz",VLOOKUP(F89,#REF!,4,0),IF(OR(E89="_2018_2019_ősz",E89="_2018_2019_keresztfélév"),VLOOKUP(F89,#REF!,4,0),IF(E89="_2017_2018_keresztfélév",VLOOKUP(F89,#REF!,4,0),IF(E89="_2017_2018_ősz",VLOOKUP(F89,#REF!,4,0),IF(OR(E89="_2016_2017_ősz",E89="_2016_2017_keresztfélév"),VLOOKUP(F89,#REF!,4,0),"HIBA!")))))</f>
        <v>HIBA!</v>
      </c>
      <c r="L89" s="143" t="e">
        <f>H89&amp;" "&amp;#REF!</f>
        <v>#REF!</v>
      </c>
      <c r="M89" s="136">
        <f>'Támogatás szorzat tényezői'!$C$19*('Támogatás szorzat tényezői'!$C$16/'Támogatás szorzat tényezői'!$C$14)</f>
        <v>120000</v>
      </c>
      <c r="N89" s="98">
        <f t="shared" si="6"/>
        <v>0</v>
      </c>
      <c r="O89" s="120">
        <f t="shared" si="7"/>
        <v>0</v>
      </c>
      <c r="P89" s="325"/>
      <c r="Q89" s="249">
        <f t="shared" si="8"/>
        <v>0</v>
      </c>
      <c r="R89" s="326" t="str">
        <f t="shared" si="9"/>
        <v/>
      </c>
    </row>
    <row r="90" spans="1:18" ht="30" customHeight="1" x14ac:dyDescent="0.25">
      <c r="A90" s="227"/>
      <c r="B90" s="323" t="s">
        <v>1780</v>
      </c>
      <c r="C90" s="100"/>
      <c r="D90" s="100"/>
      <c r="E90" s="102"/>
      <c r="F90" s="100"/>
      <c r="G90" s="102"/>
      <c r="H90" s="97" t="str">
        <f>IFERROR(IF(E90="_2017_2018_ősz",VLOOKUP(F90,Háttértáblák!$L$2:$M$331,2,0),IF(E90="_2017_2018_keresztfélév",VLOOKUP(F90,Háttértáblák!$N$2:$O$326,2,0),IF(OR(E90="_2018_2019_ősz",E90="_2019_2020_ősz"),VLOOKUP(F90,Háttértáblák!$S$2:$T$334,2,0),VLOOKUP(F90,Háttértáblák!$U$2:$V$330,2,0)))),"")</f>
        <v/>
      </c>
      <c r="I90" s="97" t="str">
        <f t="shared" si="5"/>
        <v>_</v>
      </c>
      <c r="J90" s="97" t="e">
        <f>IF(#REF!="","",E90&amp;"_"&amp;IF(#REF!=0.5,"fél_év",#REF!))</f>
        <v>#REF!</v>
      </c>
      <c r="K90" s="97" t="str">
        <f>IF(E90="_2019_2020_ősz",VLOOKUP(F90,#REF!,4,0),IF(OR(E90="_2018_2019_ősz",E90="_2018_2019_keresztfélév"),VLOOKUP(F90,#REF!,4,0),IF(E90="_2017_2018_keresztfélév",VLOOKUP(F90,#REF!,4,0),IF(E90="_2017_2018_ősz",VLOOKUP(F90,#REF!,4,0),IF(OR(E90="_2016_2017_ősz",E90="_2016_2017_keresztfélév"),VLOOKUP(F90,#REF!,4,0),"HIBA!")))))</f>
        <v>HIBA!</v>
      </c>
      <c r="L90" s="143" t="e">
        <f>H90&amp;" "&amp;#REF!</f>
        <v>#REF!</v>
      </c>
      <c r="M90" s="136">
        <f>'Támogatás szorzat tényezői'!$C$19*('Támogatás szorzat tényezői'!$C$16/'Támogatás szorzat tényezői'!$C$14)</f>
        <v>120000</v>
      </c>
      <c r="N90" s="98">
        <f t="shared" si="6"/>
        <v>0</v>
      </c>
      <c r="O90" s="120">
        <f t="shared" si="7"/>
        <v>0</v>
      </c>
      <c r="P90" s="325"/>
      <c r="Q90" s="249">
        <f t="shared" si="8"/>
        <v>0</v>
      </c>
      <c r="R90" s="326" t="str">
        <f t="shared" si="9"/>
        <v/>
      </c>
    </row>
    <row r="91" spans="1:18" ht="30" customHeight="1" x14ac:dyDescent="0.25">
      <c r="A91" s="227"/>
      <c r="B91" s="323" t="s">
        <v>1780</v>
      </c>
      <c r="C91" s="100"/>
      <c r="D91" s="100"/>
      <c r="E91" s="102"/>
      <c r="F91" s="100"/>
      <c r="G91" s="102"/>
      <c r="H91" s="97" t="str">
        <f>IFERROR(IF(E91="_2017_2018_ősz",VLOOKUP(F91,Háttértáblák!$L$2:$M$331,2,0),IF(E91="_2017_2018_keresztfélév",VLOOKUP(F91,Háttértáblák!$N$2:$O$326,2,0),IF(OR(E91="_2018_2019_ősz",E91="_2019_2020_ősz"),VLOOKUP(F91,Háttértáblák!$S$2:$T$334,2,0),VLOOKUP(F91,Háttértáblák!$U$2:$V$330,2,0)))),"")</f>
        <v/>
      </c>
      <c r="I91" s="97" t="str">
        <f t="shared" si="5"/>
        <v>_</v>
      </c>
      <c r="J91" s="97" t="e">
        <f>IF(#REF!="","",E91&amp;"_"&amp;IF(#REF!=0.5,"fél_év",#REF!))</f>
        <v>#REF!</v>
      </c>
      <c r="K91" s="97" t="str">
        <f>IF(E91="_2019_2020_ősz",VLOOKUP(F91,#REF!,4,0),IF(OR(E91="_2018_2019_ősz",E91="_2018_2019_keresztfélév"),VLOOKUP(F91,#REF!,4,0),IF(E91="_2017_2018_keresztfélév",VLOOKUP(F91,#REF!,4,0),IF(E91="_2017_2018_ősz",VLOOKUP(F91,#REF!,4,0),IF(OR(E91="_2016_2017_ősz",E91="_2016_2017_keresztfélév"),VLOOKUP(F91,#REF!,4,0),"HIBA!")))))</f>
        <v>HIBA!</v>
      </c>
      <c r="L91" s="143" t="e">
        <f>H91&amp;" "&amp;#REF!</f>
        <v>#REF!</v>
      </c>
      <c r="M91" s="136">
        <f>'Támogatás szorzat tényezői'!$C$19*('Támogatás szorzat tényezői'!$C$16/'Támogatás szorzat tényezői'!$C$14)</f>
        <v>120000</v>
      </c>
      <c r="N91" s="98">
        <f t="shared" si="6"/>
        <v>0</v>
      </c>
      <c r="O91" s="120">
        <f t="shared" si="7"/>
        <v>0</v>
      </c>
      <c r="P91" s="325"/>
      <c r="Q91" s="249">
        <f t="shared" si="8"/>
        <v>0</v>
      </c>
      <c r="R91" s="326" t="str">
        <f t="shared" si="9"/>
        <v/>
      </c>
    </row>
    <row r="92" spans="1:18" ht="30" customHeight="1" x14ac:dyDescent="0.25">
      <c r="A92" s="227"/>
      <c r="B92" s="323" t="s">
        <v>1780</v>
      </c>
      <c r="C92" s="100"/>
      <c r="D92" s="100"/>
      <c r="E92" s="102"/>
      <c r="F92" s="100"/>
      <c r="G92" s="102"/>
      <c r="H92" s="97" t="str">
        <f>IFERROR(IF(E92="_2017_2018_ősz",VLOOKUP(F92,Háttértáblák!$L$2:$M$331,2,0),IF(E92="_2017_2018_keresztfélév",VLOOKUP(F92,Háttértáblák!$N$2:$O$326,2,0),IF(OR(E92="_2018_2019_ősz",E92="_2019_2020_ősz"),VLOOKUP(F92,Háttértáblák!$S$2:$T$334,2,0),VLOOKUP(F92,Háttértáblák!$U$2:$V$330,2,0)))),"")</f>
        <v/>
      </c>
      <c r="I92" s="97" t="str">
        <f t="shared" si="5"/>
        <v>_</v>
      </c>
      <c r="J92" s="97" t="e">
        <f>IF(#REF!="","",E92&amp;"_"&amp;IF(#REF!=0.5,"fél_év",#REF!))</f>
        <v>#REF!</v>
      </c>
      <c r="K92" s="97" t="str">
        <f>IF(E92="_2019_2020_ősz",VLOOKUP(F92,#REF!,4,0),IF(OR(E92="_2018_2019_ősz",E92="_2018_2019_keresztfélév"),VLOOKUP(F92,#REF!,4,0),IF(E92="_2017_2018_keresztfélév",VLOOKUP(F92,#REF!,4,0),IF(E92="_2017_2018_ősz",VLOOKUP(F92,#REF!,4,0),IF(OR(E92="_2016_2017_ősz",E92="_2016_2017_keresztfélév"),VLOOKUP(F92,#REF!,4,0),"HIBA!")))))</f>
        <v>HIBA!</v>
      </c>
      <c r="L92" s="143" t="e">
        <f>H92&amp;" "&amp;#REF!</f>
        <v>#REF!</v>
      </c>
      <c r="M92" s="136">
        <f>'Támogatás szorzat tényezői'!$C$19*('Támogatás szorzat tényezői'!$C$16/'Támogatás szorzat tényezői'!$C$14)</f>
        <v>120000</v>
      </c>
      <c r="N92" s="98">
        <f t="shared" si="6"/>
        <v>0</v>
      </c>
      <c r="O92" s="120">
        <f t="shared" si="7"/>
        <v>0</v>
      </c>
      <c r="P92" s="325"/>
      <c r="Q92" s="249">
        <f t="shared" si="8"/>
        <v>0</v>
      </c>
      <c r="R92" s="326" t="str">
        <f t="shared" si="9"/>
        <v/>
      </c>
    </row>
    <row r="93" spans="1:18" ht="30" customHeight="1" x14ac:dyDescent="0.25">
      <c r="A93" s="227"/>
      <c r="B93" s="323" t="s">
        <v>1780</v>
      </c>
      <c r="C93" s="100"/>
      <c r="D93" s="100"/>
      <c r="E93" s="102"/>
      <c r="F93" s="100"/>
      <c r="G93" s="102"/>
      <c r="H93" s="97" t="str">
        <f>IFERROR(IF(E93="_2017_2018_ősz",VLOOKUP(F93,Háttértáblák!$L$2:$M$331,2,0),IF(E93="_2017_2018_keresztfélév",VLOOKUP(F93,Háttértáblák!$N$2:$O$326,2,0),IF(OR(E93="_2018_2019_ősz",E93="_2019_2020_ősz"),VLOOKUP(F93,Háttértáblák!$S$2:$T$334,2,0),VLOOKUP(F93,Háttértáblák!$U$2:$V$330,2,0)))),"")</f>
        <v/>
      </c>
      <c r="I93" s="97" t="str">
        <f t="shared" si="5"/>
        <v>_</v>
      </c>
      <c r="J93" s="97" t="e">
        <f>IF(#REF!="","",E93&amp;"_"&amp;IF(#REF!=0.5,"fél_év",#REF!))</f>
        <v>#REF!</v>
      </c>
      <c r="K93" s="97" t="str">
        <f>IF(E93="_2019_2020_ősz",VLOOKUP(F93,#REF!,4,0),IF(OR(E93="_2018_2019_ősz",E93="_2018_2019_keresztfélév"),VLOOKUP(F93,#REF!,4,0),IF(E93="_2017_2018_keresztfélév",VLOOKUP(F93,#REF!,4,0),IF(E93="_2017_2018_ősz",VLOOKUP(F93,#REF!,4,0),IF(OR(E93="_2016_2017_ősz",E93="_2016_2017_keresztfélév"),VLOOKUP(F93,#REF!,4,0),"HIBA!")))))</f>
        <v>HIBA!</v>
      </c>
      <c r="L93" s="143" t="e">
        <f>H93&amp;" "&amp;#REF!</f>
        <v>#REF!</v>
      </c>
      <c r="M93" s="136">
        <f>'Támogatás szorzat tényezői'!$C$19*('Támogatás szorzat tényezői'!$C$16/'Támogatás szorzat tényezői'!$C$14)</f>
        <v>120000</v>
      </c>
      <c r="N93" s="98">
        <f t="shared" si="6"/>
        <v>0</v>
      </c>
      <c r="O93" s="120">
        <f t="shared" si="7"/>
        <v>0</v>
      </c>
      <c r="P93" s="325"/>
      <c r="Q93" s="249">
        <f t="shared" si="8"/>
        <v>0</v>
      </c>
      <c r="R93" s="326" t="str">
        <f t="shared" si="9"/>
        <v/>
      </c>
    </row>
    <row r="94" spans="1:18" ht="30" customHeight="1" x14ac:dyDescent="0.25">
      <c r="A94" s="227"/>
      <c r="B94" s="323" t="s">
        <v>1780</v>
      </c>
      <c r="C94" s="100"/>
      <c r="D94" s="100"/>
      <c r="E94" s="102"/>
      <c r="F94" s="100"/>
      <c r="G94" s="102"/>
      <c r="H94" s="97" t="str">
        <f>IFERROR(IF(E94="_2017_2018_ősz",VLOOKUP(F94,Háttértáblák!$L$2:$M$331,2,0),IF(E94="_2017_2018_keresztfélév",VLOOKUP(F94,Háttértáblák!$N$2:$O$326,2,0),IF(OR(E94="_2018_2019_ősz",E94="_2019_2020_ősz"),VLOOKUP(F94,Háttértáblák!$S$2:$T$334,2,0),VLOOKUP(F94,Háttértáblák!$U$2:$V$330,2,0)))),"")</f>
        <v/>
      </c>
      <c r="I94" s="97" t="str">
        <f t="shared" si="5"/>
        <v>_</v>
      </c>
      <c r="J94" s="97" t="e">
        <f>IF(#REF!="","",E94&amp;"_"&amp;IF(#REF!=0.5,"fél_év",#REF!))</f>
        <v>#REF!</v>
      </c>
      <c r="K94" s="97" t="str">
        <f>IF(E94="_2019_2020_ősz",VLOOKUP(F94,#REF!,4,0),IF(OR(E94="_2018_2019_ősz",E94="_2018_2019_keresztfélév"),VLOOKUP(F94,#REF!,4,0),IF(E94="_2017_2018_keresztfélév",VLOOKUP(F94,#REF!,4,0),IF(E94="_2017_2018_ősz",VLOOKUP(F94,#REF!,4,0),IF(OR(E94="_2016_2017_ősz",E94="_2016_2017_keresztfélév"),VLOOKUP(F94,#REF!,4,0),"HIBA!")))))</f>
        <v>HIBA!</v>
      </c>
      <c r="L94" s="143" t="e">
        <f>H94&amp;" "&amp;#REF!</f>
        <v>#REF!</v>
      </c>
      <c r="M94" s="136">
        <f>'Támogatás szorzat tényezői'!$C$19*('Támogatás szorzat tényezői'!$C$16/'Támogatás szorzat tényezői'!$C$14)</f>
        <v>120000</v>
      </c>
      <c r="N94" s="98">
        <f t="shared" si="6"/>
        <v>0</v>
      </c>
      <c r="O94" s="120">
        <f t="shared" si="7"/>
        <v>0</v>
      </c>
      <c r="P94" s="325"/>
      <c r="Q94" s="249">
        <f t="shared" si="8"/>
        <v>0</v>
      </c>
      <c r="R94" s="326" t="str">
        <f t="shared" si="9"/>
        <v/>
      </c>
    </row>
    <row r="95" spans="1:18" ht="30" customHeight="1" x14ac:dyDescent="0.25">
      <c r="A95" s="227"/>
      <c r="B95" s="323" t="s">
        <v>1780</v>
      </c>
      <c r="C95" s="100"/>
      <c r="D95" s="100"/>
      <c r="E95" s="102"/>
      <c r="F95" s="100"/>
      <c r="G95" s="102"/>
      <c r="H95" s="97" t="str">
        <f>IFERROR(IF(E95="_2017_2018_ősz",VLOOKUP(F95,Háttértáblák!$L$2:$M$331,2,0),IF(E95="_2017_2018_keresztfélév",VLOOKUP(F95,Háttértáblák!$N$2:$O$326,2,0),IF(OR(E95="_2018_2019_ősz",E95="_2019_2020_ősz"),VLOOKUP(F95,Háttértáblák!$S$2:$T$334,2,0),VLOOKUP(F95,Háttértáblák!$U$2:$V$330,2,0)))),"")</f>
        <v/>
      </c>
      <c r="I95" s="97" t="str">
        <f t="shared" si="5"/>
        <v>_</v>
      </c>
      <c r="J95" s="97" t="e">
        <f>IF(#REF!="","",E95&amp;"_"&amp;IF(#REF!=0.5,"fél_év",#REF!))</f>
        <v>#REF!</v>
      </c>
      <c r="K95" s="97" t="str">
        <f>IF(E95="_2019_2020_ősz",VLOOKUP(F95,#REF!,4,0),IF(OR(E95="_2018_2019_ősz",E95="_2018_2019_keresztfélév"),VLOOKUP(F95,#REF!,4,0),IF(E95="_2017_2018_keresztfélév",VLOOKUP(F95,#REF!,4,0),IF(E95="_2017_2018_ősz",VLOOKUP(F95,#REF!,4,0),IF(OR(E95="_2016_2017_ősz",E95="_2016_2017_keresztfélév"),VLOOKUP(F95,#REF!,4,0),"HIBA!")))))</f>
        <v>HIBA!</v>
      </c>
      <c r="L95" s="143" t="e">
        <f>H95&amp;" "&amp;#REF!</f>
        <v>#REF!</v>
      </c>
      <c r="M95" s="136">
        <f>'Támogatás szorzat tényezői'!$C$19*('Támogatás szorzat tényezői'!$C$16/'Támogatás szorzat tényezői'!$C$14)</f>
        <v>120000</v>
      </c>
      <c r="N95" s="98">
        <f t="shared" si="6"/>
        <v>0</v>
      </c>
      <c r="O95" s="120">
        <f t="shared" si="7"/>
        <v>0</v>
      </c>
      <c r="P95" s="325"/>
      <c r="Q95" s="249">
        <f t="shared" si="8"/>
        <v>0</v>
      </c>
      <c r="R95" s="326" t="str">
        <f t="shared" si="9"/>
        <v/>
      </c>
    </row>
    <row r="96" spans="1:18" ht="30" customHeight="1" x14ac:dyDescent="0.25">
      <c r="A96" s="227"/>
      <c r="B96" s="323" t="s">
        <v>1780</v>
      </c>
      <c r="C96" s="100"/>
      <c r="D96" s="100"/>
      <c r="E96" s="102"/>
      <c r="F96" s="100"/>
      <c r="G96" s="102"/>
      <c r="H96" s="97" t="str">
        <f>IFERROR(IF(E96="_2017_2018_ősz",VLOOKUP(F96,Háttértáblák!$L$2:$M$331,2,0),IF(E96="_2017_2018_keresztfélév",VLOOKUP(F96,Háttértáblák!$N$2:$O$326,2,0),IF(OR(E96="_2018_2019_ősz",E96="_2019_2020_ősz"),VLOOKUP(F96,Háttértáblák!$S$2:$T$334,2,0),VLOOKUP(F96,Háttértáblák!$U$2:$V$330,2,0)))),"")</f>
        <v/>
      </c>
      <c r="I96" s="97" t="str">
        <f t="shared" si="5"/>
        <v>_</v>
      </c>
      <c r="J96" s="97" t="e">
        <f>IF(#REF!="","",E96&amp;"_"&amp;IF(#REF!=0.5,"fél_év",#REF!))</f>
        <v>#REF!</v>
      </c>
      <c r="K96" s="97" t="str">
        <f>IF(E96="_2019_2020_ősz",VLOOKUP(F96,#REF!,4,0),IF(OR(E96="_2018_2019_ősz",E96="_2018_2019_keresztfélév"),VLOOKUP(F96,#REF!,4,0),IF(E96="_2017_2018_keresztfélév",VLOOKUP(F96,#REF!,4,0),IF(E96="_2017_2018_ősz",VLOOKUP(F96,#REF!,4,0),IF(OR(E96="_2016_2017_ősz",E96="_2016_2017_keresztfélév"),VLOOKUP(F96,#REF!,4,0),"HIBA!")))))</f>
        <v>HIBA!</v>
      </c>
      <c r="L96" s="143" t="e">
        <f>H96&amp;" "&amp;#REF!</f>
        <v>#REF!</v>
      </c>
      <c r="M96" s="136">
        <f>'Támogatás szorzat tényezői'!$C$19*('Támogatás szorzat tényezői'!$C$16/'Támogatás szorzat tényezői'!$C$14)</f>
        <v>120000</v>
      </c>
      <c r="N96" s="98">
        <f t="shared" si="6"/>
        <v>0</v>
      </c>
      <c r="O96" s="120">
        <f t="shared" si="7"/>
        <v>0</v>
      </c>
      <c r="P96" s="325"/>
      <c r="Q96" s="249">
        <f t="shared" si="8"/>
        <v>0</v>
      </c>
      <c r="R96" s="326" t="str">
        <f t="shared" si="9"/>
        <v/>
      </c>
    </row>
    <row r="97" spans="1:18" ht="30" customHeight="1" x14ac:dyDescent="0.25">
      <c r="A97" s="227"/>
      <c r="B97" s="323" t="s">
        <v>1780</v>
      </c>
      <c r="C97" s="100"/>
      <c r="D97" s="100"/>
      <c r="E97" s="102"/>
      <c r="F97" s="100"/>
      <c r="G97" s="102"/>
      <c r="H97" s="97" t="str">
        <f>IFERROR(IF(E97="_2017_2018_ősz",VLOOKUP(F97,Háttértáblák!$L$2:$M$331,2,0),IF(E97="_2017_2018_keresztfélév",VLOOKUP(F97,Háttértáblák!$N$2:$O$326,2,0),IF(OR(E97="_2018_2019_ősz",E97="_2019_2020_ősz"),VLOOKUP(F97,Háttértáblák!$S$2:$T$334,2,0),VLOOKUP(F97,Háttértáblák!$U$2:$V$330,2,0)))),"")</f>
        <v/>
      </c>
      <c r="I97" s="97" t="str">
        <f t="shared" si="5"/>
        <v>_</v>
      </c>
      <c r="J97" s="97" t="e">
        <f>IF(#REF!="","",E97&amp;"_"&amp;IF(#REF!=0.5,"fél_év",#REF!))</f>
        <v>#REF!</v>
      </c>
      <c r="K97" s="97" t="str">
        <f>IF(E97="_2019_2020_ősz",VLOOKUP(F97,#REF!,4,0),IF(OR(E97="_2018_2019_ősz",E97="_2018_2019_keresztfélév"),VLOOKUP(F97,#REF!,4,0),IF(E97="_2017_2018_keresztfélév",VLOOKUP(F97,#REF!,4,0),IF(E97="_2017_2018_ősz",VLOOKUP(F97,#REF!,4,0),IF(OR(E97="_2016_2017_ősz",E97="_2016_2017_keresztfélév"),VLOOKUP(F97,#REF!,4,0),"HIBA!")))))</f>
        <v>HIBA!</v>
      </c>
      <c r="L97" s="143" t="e">
        <f>H97&amp;" "&amp;#REF!</f>
        <v>#REF!</v>
      </c>
      <c r="M97" s="136">
        <f>'Támogatás szorzat tényezői'!$C$19*('Támogatás szorzat tényezői'!$C$16/'Támogatás szorzat tényezői'!$C$14)</f>
        <v>120000</v>
      </c>
      <c r="N97" s="98">
        <f t="shared" si="6"/>
        <v>0</v>
      </c>
      <c r="O97" s="120">
        <f t="shared" si="7"/>
        <v>0</v>
      </c>
      <c r="P97" s="325"/>
      <c r="Q97" s="249">
        <f t="shared" si="8"/>
        <v>0</v>
      </c>
      <c r="R97" s="326" t="str">
        <f t="shared" si="9"/>
        <v/>
      </c>
    </row>
    <row r="98" spans="1:18" ht="30" customHeight="1" x14ac:dyDescent="0.25">
      <c r="A98" s="227"/>
      <c r="B98" s="323" t="s">
        <v>1780</v>
      </c>
      <c r="C98" s="100"/>
      <c r="D98" s="100"/>
      <c r="E98" s="102"/>
      <c r="F98" s="100"/>
      <c r="G98" s="102"/>
      <c r="H98" s="97" t="str">
        <f>IFERROR(IF(E98="_2017_2018_ősz",VLOOKUP(F98,Háttértáblák!$L$2:$M$331,2,0),IF(E98="_2017_2018_keresztfélév",VLOOKUP(F98,Háttértáblák!$N$2:$O$326,2,0),IF(OR(E98="_2018_2019_ősz",E98="_2019_2020_ősz"),VLOOKUP(F98,Háttértáblák!$S$2:$T$334,2,0),VLOOKUP(F98,Háttértáblák!$U$2:$V$330,2,0)))),"")</f>
        <v/>
      </c>
      <c r="I98" s="97" t="str">
        <f t="shared" si="5"/>
        <v>_</v>
      </c>
      <c r="J98" s="97" t="e">
        <f>IF(#REF!="","",E98&amp;"_"&amp;IF(#REF!=0.5,"fél_év",#REF!))</f>
        <v>#REF!</v>
      </c>
      <c r="K98" s="97" t="str">
        <f>IF(E98="_2019_2020_ősz",VLOOKUP(F98,#REF!,4,0),IF(OR(E98="_2018_2019_ősz",E98="_2018_2019_keresztfélév"),VLOOKUP(F98,#REF!,4,0),IF(E98="_2017_2018_keresztfélév",VLOOKUP(F98,#REF!,4,0),IF(E98="_2017_2018_ősz",VLOOKUP(F98,#REF!,4,0),IF(OR(E98="_2016_2017_ősz",E98="_2016_2017_keresztfélév"),VLOOKUP(F98,#REF!,4,0),"HIBA!")))))</f>
        <v>HIBA!</v>
      </c>
      <c r="L98" s="143" t="e">
        <f>H98&amp;" "&amp;#REF!</f>
        <v>#REF!</v>
      </c>
      <c r="M98" s="136">
        <f>'Támogatás szorzat tényezői'!$C$19*('Támogatás szorzat tényezői'!$C$16/'Támogatás szorzat tényezői'!$C$14)</f>
        <v>120000</v>
      </c>
      <c r="N98" s="98">
        <f t="shared" si="6"/>
        <v>0</v>
      </c>
      <c r="O98" s="120">
        <f t="shared" si="7"/>
        <v>0</v>
      </c>
      <c r="P98" s="325"/>
      <c r="Q98" s="249">
        <f t="shared" si="8"/>
        <v>0</v>
      </c>
      <c r="R98" s="326" t="str">
        <f t="shared" si="9"/>
        <v/>
      </c>
    </row>
    <row r="99" spans="1:18" ht="30" customHeight="1" x14ac:dyDescent="0.25">
      <c r="A99" s="227"/>
      <c r="B99" s="323" t="s">
        <v>1780</v>
      </c>
      <c r="C99" s="100"/>
      <c r="D99" s="100"/>
      <c r="E99" s="102"/>
      <c r="F99" s="100"/>
      <c r="G99" s="102"/>
      <c r="H99" s="97" t="str">
        <f>IFERROR(IF(E99="_2017_2018_ősz",VLOOKUP(F99,Háttértáblák!$L$2:$M$331,2,0),IF(E99="_2017_2018_keresztfélév",VLOOKUP(F99,Háttértáblák!$N$2:$O$326,2,0),IF(OR(E99="_2018_2019_ősz",E99="_2019_2020_ősz"),VLOOKUP(F99,Háttértáblák!$S$2:$T$334,2,0),VLOOKUP(F99,Háttértáblák!$U$2:$V$330,2,0)))),"")</f>
        <v/>
      </c>
      <c r="I99" s="97" t="str">
        <f t="shared" si="5"/>
        <v>_</v>
      </c>
      <c r="J99" s="97" t="e">
        <f>IF(#REF!="","",E99&amp;"_"&amp;IF(#REF!=0.5,"fél_év",#REF!))</f>
        <v>#REF!</v>
      </c>
      <c r="K99" s="97" t="str">
        <f>IF(E99="_2019_2020_ősz",VLOOKUP(F99,#REF!,4,0),IF(OR(E99="_2018_2019_ősz",E99="_2018_2019_keresztfélév"),VLOOKUP(F99,#REF!,4,0),IF(E99="_2017_2018_keresztfélév",VLOOKUP(F99,#REF!,4,0),IF(E99="_2017_2018_ősz",VLOOKUP(F99,#REF!,4,0),IF(OR(E99="_2016_2017_ősz",E99="_2016_2017_keresztfélév"),VLOOKUP(F99,#REF!,4,0),"HIBA!")))))</f>
        <v>HIBA!</v>
      </c>
      <c r="L99" s="143" t="e">
        <f>H99&amp;" "&amp;#REF!</f>
        <v>#REF!</v>
      </c>
      <c r="M99" s="136">
        <f>'Támogatás szorzat tényezői'!$C$19*('Támogatás szorzat tényezői'!$C$16/'Támogatás szorzat tényezői'!$C$14)</f>
        <v>120000</v>
      </c>
      <c r="N99" s="98">
        <f t="shared" si="6"/>
        <v>0</v>
      </c>
      <c r="O99" s="120">
        <f t="shared" si="7"/>
        <v>0</v>
      </c>
      <c r="P99" s="325"/>
      <c r="Q99" s="249">
        <f t="shared" si="8"/>
        <v>0</v>
      </c>
      <c r="R99" s="326" t="str">
        <f t="shared" si="9"/>
        <v/>
      </c>
    </row>
    <row r="100" spans="1:18" ht="30" customHeight="1" x14ac:dyDescent="0.25">
      <c r="A100" s="227"/>
      <c r="B100" s="323" t="s">
        <v>1780</v>
      </c>
      <c r="C100" s="100"/>
      <c r="D100" s="100"/>
      <c r="E100" s="102"/>
      <c r="F100" s="100"/>
      <c r="G100" s="102"/>
      <c r="H100" s="97" t="str">
        <f>IFERROR(IF(E100="_2017_2018_ősz",VLOOKUP(F100,Háttértáblák!$L$2:$M$331,2,0),IF(E100="_2017_2018_keresztfélév",VLOOKUP(F100,Háttértáblák!$N$2:$O$326,2,0),IF(OR(E100="_2018_2019_ősz",E100="_2019_2020_ősz"),VLOOKUP(F100,Háttértáblák!$S$2:$T$334,2,0),VLOOKUP(F100,Háttértáblák!$U$2:$V$330,2,0)))),"")</f>
        <v/>
      </c>
      <c r="I100" s="97" t="str">
        <f t="shared" si="5"/>
        <v>_</v>
      </c>
      <c r="J100" s="97" t="e">
        <f>IF(#REF!="","",E100&amp;"_"&amp;IF(#REF!=0.5,"fél_év",#REF!))</f>
        <v>#REF!</v>
      </c>
      <c r="K100" s="97" t="str">
        <f>IF(E100="_2019_2020_ősz",VLOOKUP(F100,#REF!,4,0),IF(OR(E100="_2018_2019_ősz",E100="_2018_2019_keresztfélév"),VLOOKUP(F100,#REF!,4,0),IF(E100="_2017_2018_keresztfélév",VLOOKUP(F100,#REF!,4,0),IF(E100="_2017_2018_ősz",VLOOKUP(F100,#REF!,4,0),IF(OR(E100="_2016_2017_ősz",E100="_2016_2017_keresztfélév"),VLOOKUP(F100,#REF!,4,0),"HIBA!")))))</f>
        <v>HIBA!</v>
      </c>
      <c r="L100" s="143" t="e">
        <f>H100&amp;" "&amp;#REF!</f>
        <v>#REF!</v>
      </c>
      <c r="M100" s="136">
        <f>'Támogatás szorzat tényezői'!$C$19*('Támogatás szorzat tényezői'!$C$16/'Támogatás szorzat tényezői'!$C$14)</f>
        <v>120000</v>
      </c>
      <c r="N100" s="98">
        <f t="shared" si="6"/>
        <v>0</v>
      </c>
      <c r="O100" s="120">
        <f t="shared" si="7"/>
        <v>0</v>
      </c>
      <c r="P100" s="325"/>
      <c r="Q100" s="249">
        <f t="shared" si="8"/>
        <v>0</v>
      </c>
      <c r="R100" s="326" t="str">
        <f t="shared" si="9"/>
        <v/>
      </c>
    </row>
    <row r="101" spans="1:18" ht="30" customHeight="1" x14ac:dyDescent="0.25">
      <c r="A101" s="227"/>
      <c r="B101" s="323" t="s">
        <v>1780</v>
      </c>
      <c r="C101" s="100"/>
      <c r="D101" s="100"/>
      <c r="E101" s="102"/>
      <c r="F101" s="100"/>
      <c r="G101" s="102"/>
      <c r="H101" s="97" t="str">
        <f>IFERROR(IF(E101="_2017_2018_ősz",VLOOKUP(F101,Háttértáblák!$L$2:$M$331,2,0),IF(E101="_2017_2018_keresztfélév",VLOOKUP(F101,Háttértáblák!$N$2:$O$326,2,0),IF(OR(E101="_2018_2019_ősz",E101="_2019_2020_ősz"),VLOOKUP(F101,Háttértáblák!$S$2:$T$334,2,0),VLOOKUP(F101,Háttértáblák!$U$2:$V$330,2,0)))),"")</f>
        <v/>
      </c>
      <c r="I101" s="97" t="str">
        <f t="shared" si="5"/>
        <v>_</v>
      </c>
      <c r="J101" s="97" t="e">
        <f>IF(#REF!="","",E101&amp;"_"&amp;IF(#REF!=0.5,"fél_év",#REF!))</f>
        <v>#REF!</v>
      </c>
      <c r="K101" s="97" t="str">
        <f>IF(E101="_2019_2020_ősz",VLOOKUP(F101,#REF!,4,0),IF(OR(E101="_2018_2019_ősz",E101="_2018_2019_keresztfélév"),VLOOKUP(F101,#REF!,4,0),IF(E101="_2017_2018_keresztfélév",VLOOKUP(F101,#REF!,4,0),IF(E101="_2017_2018_ősz",VLOOKUP(F101,#REF!,4,0),IF(OR(E101="_2016_2017_ősz",E101="_2016_2017_keresztfélév"),VLOOKUP(F101,#REF!,4,0),"HIBA!")))))</f>
        <v>HIBA!</v>
      </c>
      <c r="L101" s="143" t="e">
        <f>H101&amp;" "&amp;#REF!</f>
        <v>#REF!</v>
      </c>
      <c r="M101" s="136">
        <f>'Támogatás szorzat tényezői'!$C$19*('Támogatás szorzat tényezői'!$C$16/'Támogatás szorzat tényezői'!$C$14)</f>
        <v>120000</v>
      </c>
      <c r="N101" s="98">
        <f t="shared" si="6"/>
        <v>0</v>
      </c>
      <c r="O101" s="120">
        <f t="shared" si="7"/>
        <v>0</v>
      </c>
      <c r="P101" s="325"/>
      <c r="Q101" s="249">
        <f t="shared" si="8"/>
        <v>0</v>
      </c>
      <c r="R101" s="326" t="str">
        <f t="shared" si="9"/>
        <v/>
      </c>
    </row>
    <row r="102" spans="1:18" ht="30" customHeight="1" x14ac:dyDescent="0.25">
      <c r="A102" s="227"/>
      <c r="B102" s="323" t="s">
        <v>1780</v>
      </c>
      <c r="C102" s="100"/>
      <c r="D102" s="100"/>
      <c r="E102" s="102"/>
      <c r="F102" s="100"/>
      <c r="G102" s="102"/>
      <c r="H102" s="97" t="str">
        <f>IFERROR(IF(E102="_2017_2018_ősz",VLOOKUP(F102,Háttértáblák!$L$2:$M$331,2,0),IF(E102="_2017_2018_keresztfélév",VLOOKUP(F102,Háttértáblák!$N$2:$O$326,2,0),IF(OR(E102="_2018_2019_ősz",E102="_2019_2020_ősz"),VLOOKUP(F102,Háttértáblák!$S$2:$T$334,2,0),VLOOKUP(F102,Háttértáblák!$U$2:$V$330,2,0)))),"")</f>
        <v/>
      </c>
      <c r="I102" s="97" t="str">
        <f t="shared" si="5"/>
        <v>_</v>
      </c>
      <c r="J102" s="97" t="e">
        <f>IF(#REF!="","",E102&amp;"_"&amp;IF(#REF!=0.5,"fél_év",#REF!))</f>
        <v>#REF!</v>
      </c>
      <c r="K102" s="97" t="str">
        <f>IF(E102="_2019_2020_ősz",VLOOKUP(F102,#REF!,4,0),IF(OR(E102="_2018_2019_ősz",E102="_2018_2019_keresztfélév"),VLOOKUP(F102,#REF!,4,0),IF(E102="_2017_2018_keresztfélév",VLOOKUP(F102,#REF!,4,0),IF(E102="_2017_2018_ősz",VLOOKUP(F102,#REF!,4,0),IF(OR(E102="_2016_2017_ősz",E102="_2016_2017_keresztfélév"),VLOOKUP(F102,#REF!,4,0),"HIBA!")))))</f>
        <v>HIBA!</v>
      </c>
      <c r="L102" s="143" t="e">
        <f>H102&amp;" "&amp;#REF!</f>
        <v>#REF!</v>
      </c>
      <c r="M102" s="136">
        <f>'Támogatás szorzat tényezői'!$C$19*('Támogatás szorzat tényezői'!$C$16/'Támogatás szorzat tényezői'!$C$14)</f>
        <v>120000</v>
      </c>
      <c r="N102" s="98">
        <f t="shared" si="6"/>
        <v>0</v>
      </c>
      <c r="O102" s="120">
        <f t="shared" si="7"/>
        <v>0</v>
      </c>
      <c r="P102" s="325"/>
      <c r="Q102" s="249">
        <f t="shared" si="8"/>
        <v>0</v>
      </c>
      <c r="R102" s="326" t="str">
        <f t="shared" si="9"/>
        <v/>
      </c>
    </row>
    <row r="103" spans="1:18" ht="30" customHeight="1" x14ac:dyDescent="0.25">
      <c r="A103" s="227"/>
      <c r="B103" s="323" t="s">
        <v>1780</v>
      </c>
      <c r="C103" s="100"/>
      <c r="D103" s="100"/>
      <c r="E103" s="102"/>
      <c r="F103" s="100"/>
      <c r="G103" s="102"/>
      <c r="H103" s="97" t="str">
        <f>IFERROR(IF(E103="_2017_2018_ősz",VLOOKUP(F103,Háttértáblák!$L$2:$M$331,2,0),IF(E103="_2017_2018_keresztfélév",VLOOKUP(F103,Háttértáblák!$N$2:$O$326,2,0),IF(OR(E103="_2018_2019_ősz",E103="_2019_2020_ősz"),VLOOKUP(F103,Háttértáblák!$S$2:$T$334,2,0),VLOOKUP(F103,Háttértáblák!$U$2:$V$330,2,0)))),"")</f>
        <v/>
      </c>
      <c r="I103" s="97" t="str">
        <f t="shared" si="5"/>
        <v>_</v>
      </c>
      <c r="J103" s="97" t="e">
        <f>IF(#REF!="","",E103&amp;"_"&amp;IF(#REF!=0.5,"fél_év",#REF!))</f>
        <v>#REF!</v>
      </c>
      <c r="K103" s="97" t="str">
        <f>IF(E103="_2019_2020_ősz",VLOOKUP(F103,#REF!,4,0),IF(OR(E103="_2018_2019_ősz",E103="_2018_2019_keresztfélév"),VLOOKUP(F103,#REF!,4,0),IF(E103="_2017_2018_keresztfélév",VLOOKUP(F103,#REF!,4,0),IF(E103="_2017_2018_ősz",VLOOKUP(F103,#REF!,4,0),IF(OR(E103="_2016_2017_ősz",E103="_2016_2017_keresztfélév"),VLOOKUP(F103,#REF!,4,0),"HIBA!")))))</f>
        <v>HIBA!</v>
      </c>
      <c r="L103" s="143" t="e">
        <f>H103&amp;" "&amp;#REF!</f>
        <v>#REF!</v>
      </c>
      <c r="M103" s="136">
        <f>'Támogatás szorzat tényezői'!$C$19*('Támogatás szorzat tényezői'!$C$16/'Támogatás szorzat tényezői'!$C$14)</f>
        <v>120000</v>
      </c>
      <c r="N103" s="98">
        <f t="shared" si="6"/>
        <v>0</v>
      </c>
      <c r="O103" s="120">
        <f t="shared" si="7"/>
        <v>0</v>
      </c>
      <c r="P103" s="325"/>
      <c r="Q103" s="249">
        <f t="shared" si="8"/>
        <v>0</v>
      </c>
      <c r="R103" s="326" t="str">
        <f t="shared" si="9"/>
        <v/>
      </c>
    </row>
    <row r="104" spans="1:18" x14ac:dyDescent="0.25"/>
    <row r="105" spans="1:18" x14ac:dyDescent="0.25"/>
    <row r="106" spans="1:18" x14ac:dyDescent="0.25"/>
    <row r="107" spans="1:18" x14ac:dyDescent="0.25"/>
    <row r="108" spans="1:18" x14ac:dyDescent="0.25"/>
    <row r="109" spans="1:18" x14ac:dyDescent="0.25"/>
    <row r="110" spans="1:18" x14ac:dyDescent="0.25"/>
    <row r="111" spans="1:18" x14ac:dyDescent="0.25"/>
    <row r="112" spans="1:18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  <row r="1003" x14ac:dyDescent="0.25"/>
    <row r="1004" x14ac:dyDescent="0.25"/>
    <row r="1005" x14ac:dyDescent="0.25"/>
    <row r="1006" x14ac:dyDescent="0.25"/>
    <row r="1007" x14ac:dyDescent="0.25"/>
    <row r="1008" x14ac:dyDescent="0.25"/>
    <row r="1009" x14ac:dyDescent="0.25"/>
    <row r="1010" x14ac:dyDescent="0.25"/>
    <row r="1011" x14ac:dyDescent="0.25"/>
    <row r="1012" x14ac:dyDescent="0.25"/>
    <row r="1013" x14ac:dyDescent="0.25"/>
    <row r="1014" x14ac:dyDescent="0.25"/>
    <row r="1015" x14ac:dyDescent="0.25"/>
    <row r="1016" x14ac:dyDescent="0.25"/>
    <row r="1017" x14ac:dyDescent="0.25"/>
    <row r="1018" x14ac:dyDescent="0.25"/>
    <row r="1019" x14ac:dyDescent="0.25"/>
    <row r="1020" x14ac:dyDescent="0.25"/>
    <row r="1021" x14ac:dyDescent="0.25"/>
    <row r="1022" x14ac:dyDescent="0.25"/>
    <row r="1023" x14ac:dyDescent="0.25"/>
    <row r="1024" x14ac:dyDescent="0.25"/>
    <row r="1025" x14ac:dyDescent="0.25"/>
    <row r="1026" x14ac:dyDescent="0.25"/>
    <row r="1027" x14ac:dyDescent="0.25"/>
    <row r="1028" x14ac:dyDescent="0.25"/>
    <row r="1029" x14ac:dyDescent="0.25"/>
    <row r="1030" x14ac:dyDescent="0.25"/>
    <row r="1031" x14ac:dyDescent="0.25"/>
    <row r="1032" x14ac:dyDescent="0.25"/>
    <row r="1033" x14ac:dyDescent="0.25"/>
    <row r="1034" x14ac:dyDescent="0.25"/>
    <row r="1035" x14ac:dyDescent="0.25"/>
    <row r="1036" x14ac:dyDescent="0.25"/>
    <row r="1037" x14ac:dyDescent="0.25"/>
    <row r="1038" x14ac:dyDescent="0.25"/>
    <row r="1039" x14ac:dyDescent="0.25"/>
    <row r="1040" x14ac:dyDescent="0.25"/>
    <row r="1041" x14ac:dyDescent="0.25"/>
    <row r="1042" x14ac:dyDescent="0.25"/>
    <row r="1043" x14ac:dyDescent="0.25"/>
    <row r="1044" x14ac:dyDescent="0.25"/>
    <row r="1045" x14ac:dyDescent="0.25"/>
    <row r="1046" x14ac:dyDescent="0.25"/>
    <row r="1047" x14ac:dyDescent="0.25"/>
    <row r="1048" x14ac:dyDescent="0.25"/>
    <row r="1049" x14ac:dyDescent="0.25"/>
    <row r="1050" x14ac:dyDescent="0.25"/>
    <row r="1051" x14ac:dyDescent="0.25"/>
    <row r="1052" x14ac:dyDescent="0.25"/>
    <row r="1053" x14ac:dyDescent="0.25"/>
    <row r="1054" x14ac:dyDescent="0.25"/>
    <row r="1055" x14ac:dyDescent="0.25"/>
    <row r="1056" x14ac:dyDescent="0.25"/>
    <row r="1057" x14ac:dyDescent="0.25"/>
    <row r="1058" x14ac:dyDescent="0.25"/>
    <row r="1059" x14ac:dyDescent="0.25"/>
    <row r="1060" x14ac:dyDescent="0.25"/>
    <row r="1061" x14ac:dyDescent="0.25"/>
    <row r="1062" x14ac:dyDescent="0.25"/>
    <row r="1063" x14ac:dyDescent="0.25"/>
    <row r="1064" x14ac:dyDescent="0.25"/>
    <row r="1065" x14ac:dyDescent="0.25"/>
    <row r="1066" x14ac:dyDescent="0.25"/>
    <row r="1067" x14ac:dyDescent="0.25"/>
    <row r="1068" x14ac:dyDescent="0.25"/>
    <row r="1069" x14ac:dyDescent="0.25"/>
    <row r="1070" x14ac:dyDescent="0.25"/>
    <row r="1071" x14ac:dyDescent="0.25"/>
    <row r="1072" x14ac:dyDescent="0.25"/>
    <row r="1073" x14ac:dyDescent="0.25"/>
    <row r="1074" x14ac:dyDescent="0.25"/>
    <row r="1075" x14ac:dyDescent="0.25"/>
    <row r="1076" x14ac:dyDescent="0.25"/>
    <row r="1077" x14ac:dyDescent="0.25"/>
    <row r="1078" x14ac:dyDescent="0.25"/>
    <row r="1079" x14ac:dyDescent="0.25"/>
    <row r="1080" x14ac:dyDescent="0.25"/>
    <row r="1081" x14ac:dyDescent="0.25"/>
    <row r="1082" x14ac:dyDescent="0.25"/>
    <row r="1083" x14ac:dyDescent="0.25"/>
    <row r="1084" x14ac:dyDescent="0.25"/>
    <row r="1085" x14ac:dyDescent="0.25"/>
    <row r="1086" x14ac:dyDescent="0.25"/>
    <row r="1087" x14ac:dyDescent="0.25"/>
    <row r="1088" x14ac:dyDescent="0.25"/>
    <row r="1089" x14ac:dyDescent="0.25"/>
    <row r="1090" x14ac:dyDescent="0.25"/>
    <row r="1091" x14ac:dyDescent="0.25"/>
    <row r="1092" x14ac:dyDescent="0.25"/>
    <row r="1093" x14ac:dyDescent="0.25"/>
    <row r="1094" x14ac:dyDescent="0.25"/>
    <row r="1095" x14ac:dyDescent="0.25"/>
    <row r="1096" x14ac:dyDescent="0.25"/>
    <row r="1097" x14ac:dyDescent="0.25"/>
    <row r="1098" x14ac:dyDescent="0.25"/>
    <row r="1099" x14ac:dyDescent="0.25"/>
    <row r="1100" x14ac:dyDescent="0.25"/>
    <row r="1101" x14ac:dyDescent="0.25"/>
    <row r="1102" x14ac:dyDescent="0.25"/>
    <row r="1103" x14ac:dyDescent="0.25"/>
    <row r="1104" x14ac:dyDescent="0.25"/>
    <row r="1105" x14ac:dyDescent="0.25"/>
    <row r="1106" x14ac:dyDescent="0.25"/>
    <row r="1107" x14ac:dyDescent="0.25"/>
    <row r="1108" x14ac:dyDescent="0.25"/>
    <row r="1109" x14ac:dyDescent="0.25"/>
    <row r="1110" x14ac:dyDescent="0.25"/>
    <row r="1111" x14ac:dyDescent="0.25"/>
    <row r="1112" x14ac:dyDescent="0.25"/>
    <row r="1113" x14ac:dyDescent="0.25"/>
    <row r="1114" x14ac:dyDescent="0.25"/>
    <row r="1115" x14ac:dyDescent="0.25"/>
    <row r="1116" x14ac:dyDescent="0.25"/>
    <row r="1117" x14ac:dyDescent="0.25"/>
    <row r="1118" x14ac:dyDescent="0.25"/>
    <row r="1119" x14ac:dyDescent="0.25"/>
    <row r="1120" x14ac:dyDescent="0.25"/>
    <row r="1121" x14ac:dyDescent="0.25"/>
    <row r="1122" x14ac:dyDescent="0.25"/>
    <row r="1123" x14ac:dyDescent="0.25"/>
    <row r="1124" x14ac:dyDescent="0.25"/>
    <row r="1125" x14ac:dyDescent="0.25"/>
    <row r="1126" x14ac:dyDescent="0.25"/>
    <row r="1127" x14ac:dyDescent="0.25"/>
    <row r="1128" x14ac:dyDescent="0.25"/>
    <row r="1129" x14ac:dyDescent="0.25"/>
    <row r="1130" x14ac:dyDescent="0.25"/>
    <row r="1131" x14ac:dyDescent="0.25"/>
    <row r="1132" x14ac:dyDescent="0.25"/>
    <row r="1133" x14ac:dyDescent="0.25"/>
    <row r="1134" x14ac:dyDescent="0.25"/>
    <row r="1135" x14ac:dyDescent="0.25"/>
    <row r="1136" x14ac:dyDescent="0.25"/>
    <row r="1137" x14ac:dyDescent="0.25"/>
    <row r="1138" x14ac:dyDescent="0.25"/>
    <row r="1139" x14ac:dyDescent="0.25"/>
    <row r="1140" x14ac:dyDescent="0.25"/>
    <row r="1141" x14ac:dyDescent="0.25"/>
    <row r="1142" x14ac:dyDescent="0.25"/>
    <row r="1143" x14ac:dyDescent="0.25"/>
    <row r="1144" x14ac:dyDescent="0.25"/>
    <row r="1145" x14ac:dyDescent="0.25"/>
    <row r="1146" x14ac:dyDescent="0.25"/>
    <row r="1147" x14ac:dyDescent="0.25"/>
    <row r="1148" x14ac:dyDescent="0.25"/>
    <row r="1149" x14ac:dyDescent="0.25"/>
    <row r="1150" x14ac:dyDescent="0.25"/>
    <row r="1151" x14ac:dyDescent="0.25"/>
    <row r="1152" x14ac:dyDescent="0.25"/>
    <row r="1153" x14ac:dyDescent="0.25"/>
    <row r="1154" x14ac:dyDescent="0.25"/>
    <row r="1155" x14ac:dyDescent="0.25"/>
    <row r="1156" x14ac:dyDescent="0.25"/>
    <row r="1157" x14ac:dyDescent="0.25"/>
    <row r="1158" x14ac:dyDescent="0.25"/>
    <row r="1159" x14ac:dyDescent="0.25"/>
    <row r="1160" x14ac:dyDescent="0.25"/>
    <row r="1161" x14ac:dyDescent="0.25"/>
    <row r="1162" x14ac:dyDescent="0.25"/>
    <row r="1163" x14ac:dyDescent="0.25"/>
    <row r="1164" x14ac:dyDescent="0.25"/>
    <row r="1165" x14ac:dyDescent="0.25"/>
    <row r="1166" x14ac:dyDescent="0.25"/>
    <row r="1167" x14ac:dyDescent="0.25"/>
    <row r="1168" x14ac:dyDescent="0.25"/>
    <row r="1169" x14ac:dyDescent="0.25"/>
    <row r="1170" x14ac:dyDescent="0.25"/>
    <row r="1171" x14ac:dyDescent="0.25"/>
    <row r="1172" x14ac:dyDescent="0.25"/>
    <row r="1173" x14ac:dyDescent="0.25"/>
    <row r="1174" x14ac:dyDescent="0.25"/>
    <row r="1175" x14ac:dyDescent="0.25"/>
    <row r="1176" x14ac:dyDescent="0.25"/>
    <row r="1177" x14ac:dyDescent="0.25"/>
    <row r="1178" x14ac:dyDescent="0.25"/>
    <row r="1179" x14ac:dyDescent="0.25"/>
    <row r="1180" x14ac:dyDescent="0.25"/>
    <row r="1181" x14ac:dyDescent="0.25"/>
    <row r="1182" x14ac:dyDescent="0.25"/>
    <row r="1183" x14ac:dyDescent="0.25"/>
    <row r="1184" x14ac:dyDescent="0.25"/>
    <row r="1185" x14ac:dyDescent="0.25"/>
    <row r="1186" x14ac:dyDescent="0.25"/>
    <row r="1187" x14ac:dyDescent="0.25"/>
    <row r="1188" x14ac:dyDescent="0.25"/>
    <row r="1189" x14ac:dyDescent="0.25"/>
    <row r="1190" x14ac:dyDescent="0.25"/>
    <row r="1191" x14ac:dyDescent="0.25"/>
    <row r="1192" x14ac:dyDescent="0.25"/>
    <row r="1193" x14ac:dyDescent="0.25"/>
    <row r="1194" x14ac:dyDescent="0.25"/>
    <row r="1195" x14ac:dyDescent="0.25"/>
    <row r="1196" x14ac:dyDescent="0.25"/>
    <row r="1197" x14ac:dyDescent="0.25"/>
    <row r="1198" x14ac:dyDescent="0.25"/>
    <row r="1199" x14ac:dyDescent="0.25"/>
    <row r="1200" x14ac:dyDescent="0.25"/>
    <row r="1201" x14ac:dyDescent="0.25"/>
    <row r="1202" x14ac:dyDescent="0.25"/>
    <row r="1203" x14ac:dyDescent="0.25"/>
    <row r="1204" x14ac:dyDescent="0.25"/>
    <row r="1205" x14ac:dyDescent="0.25"/>
    <row r="1206" x14ac:dyDescent="0.25"/>
    <row r="1207" x14ac:dyDescent="0.25"/>
    <row r="1208" x14ac:dyDescent="0.25"/>
    <row r="1209" x14ac:dyDescent="0.25"/>
    <row r="1210" x14ac:dyDescent="0.25"/>
    <row r="1211" x14ac:dyDescent="0.25"/>
    <row r="1212" x14ac:dyDescent="0.25"/>
    <row r="1213" x14ac:dyDescent="0.25"/>
    <row r="1214" x14ac:dyDescent="0.25"/>
    <row r="1215" x14ac:dyDescent="0.25"/>
    <row r="1216" x14ac:dyDescent="0.25"/>
    <row r="1217" x14ac:dyDescent="0.25"/>
    <row r="1218" x14ac:dyDescent="0.25"/>
    <row r="1219" x14ac:dyDescent="0.25"/>
    <row r="1220" x14ac:dyDescent="0.25"/>
    <row r="1221" x14ac:dyDescent="0.25"/>
    <row r="1222" x14ac:dyDescent="0.25"/>
    <row r="1223" x14ac:dyDescent="0.25"/>
    <row r="1224" x14ac:dyDescent="0.25"/>
    <row r="1225" x14ac:dyDescent="0.25"/>
    <row r="1226" x14ac:dyDescent="0.25"/>
    <row r="1227" x14ac:dyDescent="0.25"/>
    <row r="1228" x14ac:dyDescent="0.25"/>
    <row r="1229" x14ac:dyDescent="0.25"/>
    <row r="1230" x14ac:dyDescent="0.25"/>
    <row r="1231" x14ac:dyDescent="0.25"/>
    <row r="1232" x14ac:dyDescent="0.25"/>
    <row r="1233" x14ac:dyDescent="0.25"/>
    <row r="1234" x14ac:dyDescent="0.25"/>
    <row r="1235" x14ac:dyDescent="0.25"/>
    <row r="1236" x14ac:dyDescent="0.25"/>
    <row r="1237" x14ac:dyDescent="0.25"/>
    <row r="1238" x14ac:dyDescent="0.25"/>
    <row r="1239" x14ac:dyDescent="0.25"/>
    <row r="1240" x14ac:dyDescent="0.25"/>
    <row r="1241" x14ac:dyDescent="0.25"/>
    <row r="1242" x14ac:dyDescent="0.25"/>
    <row r="1243" x14ac:dyDescent="0.25"/>
    <row r="1244" x14ac:dyDescent="0.25"/>
    <row r="1245" x14ac:dyDescent="0.25"/>
    <row r="1246" x14ac:dyDescent="0.25"/>
    <row r="1247" x14ac:dyDescent="0.25"/>
    <row r="1248" x14ac:dyDescent="0.25"/>
    <row r="1249" x14ac:dyDescent="0.25"/>
    <row r="1250" x14ac:dyDescent="0.25"/>
    <row r="1251" x14ac:dyDescent="0.25"/>
    <row r="1252" x14ac:dyDescent="0.25"/>
    <row r="1253" x14ac:dyDescent="0.25"/>
    <row r="1254" x14ac:dyDescent="0.25"/>
    <row r="1255" x14ac:dyDescent="0.25"/>
    <row r="1256" x14ac:dyDescent="0.25"/>
    <row r="1257" x14ac:dyDescent="0.25"/>
    <row r="1258" x14ac:dyDescent="0.25"/>
    <row r="1259" x14ac:dyDescent="0.25"/>
    <row r="1260" x14ac:dyDescent="0.25"/>
    <row r="1261" x14ac:dyDescent="0.25"/>
    <row r="1262" x14ac:dyDescent="0.25"/>
    <row r="1263" x14ac:dyDescent="0.25"/>
    <row r="1264" x14ac:dyDescent="0.25"/>
    <row r="1265" x14ac:dyDescent="0.25"/>
    <row r="1266" x14ac:dyDescent="0.25"/>
    <row r="1267" x14ac:dyDescent="0.25"/>
    <row r="1268" x14ac:dyDescent="0.25"/>
    <row r="1269" x14ac:dyDescent="0.25"/>
    <row r="1270" x14ac:dyDescent="0.25"/>
    <row r="1271" x14ac:dyDescent="0.25"/>
    <row r="1272" x14ac:dyDescent="0.25"/>
    <row r="1273" x14ac:dyDescent="0.25"/>
    <row r="1274" x14ac:dyDescent="0.25"/>
    <row r="1275" x14ac:dyDescent="0.25"/>
    <row r="1276" x14ac:dyDescent="0.25"/>
    <row r="1277" x14ac:dyDescent="0.25"/>
    <row r="1278" x14ac:dyDescent="0.25"/>
    <row r="1279" x14ac:dyDescent="0.25"/>
    <row r="1280" x14ac:dyDescent="0.25"/>
    <row r="1281" x14ac:dyDescent="0.25"/>
    <row r="1282" x14ac:dyDescent="0.25"/>
    <row r="1283" x14ac:dyDescent="0.25"/>
    <row r="1284" x14ac:dyDescent="0.25"/>
    <row r="1285" x14ac:dyDescent="0.25"/>
    <row r="1286" x14ac:dyDescent="0.25"/>
    <row r="1287" x14ac:dyDescent="0.25"/>
    <row r="1288" x14ac:dyDescent="0.25"/>
    <row r="1289" x14ac:dyDescent="0.25"/>
    <row r="1290" x14ac:dyDescent="0.25"/>
    <row r="1291" x14ac:dyDescent="0.25"/>
    <row r="1292" x14ac:dyDescent="0.25"/>
    <row r="1293" x14ac:dyDescent="0.25"/>
    <row r="1294" x14ac:dyDescent="0.25"/>
    <row r="1295" x14ac:dyDescent="0.25"/>
    <row r="1296" x14ac:dyDescent="0.25"/>
    <row r="1297" x14ac:dyDescent="0.25"/>
    <row r="1298" x14ac:dyDescent="0.25"/>
    <row r="1299" x14ac:dyDescent="0.25"/>
    <row r="1300" x14ac:dyDescent="0.25"/>
    <row r="1301" x14ac:dyDescent="0.25"/>
    <row r="1302" x14ac:dyDescent="0.25"/>
    <row r="1303" x14ac:dyDescent="0.25"/>
    <row r="1304" x14ac:dyDescent="0.25"/>
    <row r="1305" x14ac:dyDescent="0.25"/>
    <row r="1306" x14ac:dyDescent="0.25"/>
    <row r="1307" x14ac:dyDescent="0.25"/>
    <row r="1308" x14ac:dyDescent="0.25"/>
    <row r="1309" x14ac:dyDescent="0.25"/>
    <row r="1310" x14ac:dyDescent="0.25"/>
    <row r="1311" x14ac:dyDescent="0.25"/>
    <row r="1312" x14ac:dyDescent="0.25"/>
    <row r="1313" x14ac:dyDescent="0.25"/>
    <row r="1314" x14ac:dyDescent="0.25"/>
    <row r="1315" x14ac:dyDescent="0.25"/>
    <row r="1316" x14ac:dyDescent="0.25"/>
    <row r="1317" x14ac:dyDescent="0.25"/>
    <row r="1318" x14ac:dyDescent="0.25"/>
    <row r="1319" x14ac:dyDescent="0.25"/>
    <row r="1320" x14ac:dyDescent="0.25"/>
    <row r="1321" x14ac:dyDescent="0.25"/>
    <row r="1322" x14ac:dyDescent="0.25"/>
    <row r="1323" x14ac:dyDescent="0.25"/>
    <row r="1324" x14ac:dyDescent="0.25"/>
    <row r="1325" x14ac:dyDescent="0.25"/>
    <row r="1326" x14ac:dyDescent="0.25"/>
    <row r="1327" x14ac:dyDescent="0.25"/>
    <row r="1328" x14ac:dyDescent="0.25"/>
    <row r="1329" x14ac:dyDescent="0.25"/>
    <row r="1330" x14ac:dyDescent="0.25"/>
    <row r="1331" x14ac:dyDescent="0.25"/>
    <row r="1332" x14ac:dyDescent="0.25"/>
    <row r="1333" x14ac:dyDescent="0.25"/>
    <row r="1334" x14ac:dyDescent="0.25"/>
    <row r="1335" x14ac:dyDescent="0.25"/>
    <row r="1336" x14ac:dyDescent="0.25"/>
    <row r="1337" x14ac:dyDescent="0.25"/>
    <row r="1338" x14ac:dyDescent="0.25"/>
    <row r="1339" x14ac:dyDescent="0.25"/>
    <row r="1340" x14ac:dyDescent="0.25"/>
    <row r="1341" x14ac:dyDescent="0.25"/>
    <row r="1342" x14ac:dyDescent="0.25"/>
    <row r="1343" x14ac:dyDescent="0.25"/>
    <row r="1344" x14ac:dyDescent="0.25"/>
    <row r="1345" x14ac:dyDescent="0.25"/>
    <row r="1346" x14ac:dyDescent="0.25"/>
    <row r="1347" x14ac:dyDescent="0.25"/>
    <row r="1348" x14ac:dyDescent="0.25"/>
    <row r="1349" x14ac:dyDescent="0.25"/>
    <row r="1350" x14ac:dyDescent="0.25"/>
    <row r="1351" x14ac:dyDescent="0.25"/>
    <row r="1352" x14ac:dyDescent="0.25"/>
    <row r="1353" x14ac:dyDescent="0.25"/>
    <row r="1354" x14ac:dyDescent="0.25"/>
    <row r="1355" x14ac:dyDescent="0.25"/>
    <row r="1356" x14ac:dyDescent="0.25"/>
    <row r="1357" x14ac:dyDescent="0.25"/>
    <row r="1358" x14ac:dyDescent="0.25"/>
    <row r="1359" x14ac:dyDescent="0.25"/>
    <row r="1360" x14ac:dyDescent="0.25"/>
    <row r="1361" x14ac:dyDescent="0.25"/>
    <row r="1362" x14ac:dyDescent="0.25"/>
    <row r="1363" x14ac:dyDescent="0.25"/>
    <row r="1364" x14ac:dyDescent="0.25"/>
    <row r="1365" x14ac:dyDescent="0.25"/>
    <row r="1366" x14ac:dyDescent="0.25"/>
    <row r="1367" x14ac:dyDescent="0.25"/>
    <row r="1368" x14ac:dyDescent="0.25"/>
    <row r="1369" x14ac:dyDescent="0.25"/>
    <row r="1370" x14ac:dyDescent="0.25"/>
    <row r="1371" x14ac:dyDescent="0.25"/>
    <row r="1372" x14ac:dyDescent="0.25"/>
    <row r="1373" x14ac:dyDescent="0.25"/>
    <row r="1374" x14ac:dyDescent="0.25"/>
    <row r="1375" x14ac:dyDescent="0.25"/>
    <row r="1376" x14ac:dyDescent="0.25"/>
    <row r="1377" x14ac:dyDescent="0.25"/>
    <row r="1378" x14ac:dyDescent="0.25"/>
    <row r="1379" x14ac:dyDescent="0.25"/>
    <row r="1380" x14ac:dyDescent="0.25"/>
    <row r="1381" x14ac:dyDescent="0.25"/>
    <row r="1382" x14ac:dyDescent="0.25"/>
    <row r="1383" x14ac:dyDescent="0.25"/>
    <row r="1384" x14ac:dyDescent="0.25"/>
    <row r="1385" x14ac:dyDescent="0.25"/>
    <row r="1386" x14ac:dyDescent="0.25"/>
    <row r="1387" x14ac:dyDescent="0.25"/>
    <row r="1388" x14ac:dyDescent="0.25"/>
    <row r="1389" x14ac:dyDescent="0.25"/>
    <row r="1390" x14ac:dyDescent="0.25"/>
    <row r="1391" x14ac:dyDescent="0.25"/>
    <row r="1392" x14ac:dyDescent="0.25"/>
    <row r="1393" x14ac:dyDescent="0.25"/>
    <row r="1394" x14ac:dyDescent="0.25"/>
    <row r="1395" x14ac:dyDescent="0.25"/>
    <row r="1396" x14ac:dyDescent="0.25"/>
    <row r="1397" x14ac:dyDescent="0.25"/>
    <row r="1398" x14ac:dyDescent="0.25"/>
    <row r="1399" x14ac:dyDescent="0.25"/>
    <row r="1400" x14ac:dyDescent="0.25"/>
    <row r="1401" x14ac:dyDescent="0.25"/>
    <row r="1402" x14ac:dyDescent="0.25"/>
    <row r="1403" x14ac:dyDescent="0.25"/>
    <row r="1404" x14ac:dyDescent="0.25"/>
    <row r="1405" x14ac:dyDescent="0.25"/>
    <row r="1406" x14ac:dyDescent="0.25"/>
    <row r="1407" x14ac:dyDescent="0.25"/>
    <row r="1408" x14ac:dyDescent="0.25"/>
    <row r="1409" x14ac:dyDescent="0.25"/>
    <row r="1410" x14ac:dyDescent="0.25"/>
    <row r="1411" x14ac:dyDescent="0.25"/>
    <row r="1412" x14ac:dyDescent="0.25"/>
    <row r="1413" x14ac:dyDescent="0.25"/>
    <row r="1414" x14ac:dyDescent="0.25"/>
    <row r="1415" x14ac:dyDescent="0.25"/>
    <row r="1416" x14ac:dyDescent="0.25"/>
    <row r="1417" x14ac:dyDescent="0.25"/>
    <row r="1418" x14ac:dyDescent="0.25"/>
    <row r="1419" x14ac:dyDescent="0.25"/>
    <row r="1420" x14ac:dyDescent="0.25"/>
    <row r="1421" x14ac:dyDescent="0.25"/>
    <row r="1422" x14ac:dyDescent="0.25"/>
    <row r="1423" x14ac:dyDescent="0.25"/>
    <row r="1424" x14ac:dyDescent="0.25"/>
    <row r="1425" x14ac:dyDescent="0.25"/>
    <row r="1426" x14ac:dyDescent="0.25"/>
    <row r="1427" x14ac:dyDescent="0.25"/>
    <row r="1428" x14ac:dyDescent="0.25"/>
    <row r="1429" x14ac:dyDescent="0.25"/>
    <row r="1430" x14ac:dyDescent="0.25"/>
    <row r="1431" x14ac:dyDescent="0.25"/>
    <row r="1432" x14ac:dyDescent="0.25"/>
    <row r="1433" x14ac:dyDescent="0.25"/>
    <row r="1434" x14ac:dyDescent="0.25"/>
    <row r="1435" x14ac:dyDescent="0.25"/>
    <row r="1436" x14ac:dyDescent="0.25"/>
    <row r="1437" x14ac:dyDescent="0.25"/>
    <row r="1438" x14ac:dyDescent="0.25"/>
    <row r="1439" x14ac:dyDescent="0.25"/>
    <row r="1440" x14ac:dyDescent="0.25"/>
    <row r="1441" x14ac:dyDescent="0.25"/>
    <row r="1442" x14ac:dyDescent="0.25"/>
    <row r="1443" x14ac:dyDescent="0.25"/>
    <row r="1444" x14ac:dyDescent="0.25"/>
    <row r="1445" x14ac:dyDescent="0.25"/>
    <row r="1446" x14ac:dyDescent="0.25"/>
    <row r="1447" x14ac:dyDescent="0.25"/>
    <row r="1448" x14ac:dyDescent="0.25"/>
    <row r="1449" x14ac:dyDescent="0.25"/>
    <row r="1450" x14ac:dyDescent="0.25"/>
    <row r="1451" x14ac:dyDescent="0.25"/>
    <row r="1452" x14ac:dyDescent="0.25"/>
    <row r="1453" x14ac:dyDescent="0.25"/>
    <row r="1454" x14ac:dyDescent="0.25"/>
    <row r="1455" x14ac:dyDescent="0.25"/>
    <row r="1456" x14ac:dyDescent="0.25"/>
    <row r="1457" x14ac:dyDescent="0.25"/>
    <row r="1458" x14ac:dyDescent="0.25"/>
    <row r="1459" x14ac:dyDescent="0.25"/>
    <row r="1460" x14ac:dyDescent="0.25"/>
    <row r="1461" x14ac:dyDescent="0.25"/>
    <row r="1462" x14ac:dyDescent="0.25"/>
    <row r="1463" x14ac:dyDescent="0.25"/>
    <row r="1464" x14ac:dyDescent="0.25"/>
    <row r="1465" x14ac:dyDescent="0.25"/>
    <row r="1466" x14ac:dyDescent="0.25"/>
    <row r="1467" x14ac:dyDescent="0.25"/>
    <row r="1468" x14ac:dyDescent="0.25"/>
    <row r="1469" x14ac:dyDescent="0.25"/>
    <row r="1470" x14ac:dyDescent="0.25"/>
    <row r="1471" x14ac:dyDescent="0.25"/>
    <row r="1472" x14ac:dyDescent="0.25"/>
    <row r="1473" x14ac:dyDescent="0.25"/>
    <row r="1474" x14ac:dyDescent="0.25"/>
    <row r="1475" x14ac:dyDescent="0.25"/>
    <row r="1476" x14ac:dyDescent="0.25"/>
    <row r="1477" x14ac:dyDescent="0.25"/>
    <row r="1478" x14ac:dyDescent="0.25"/>
    <row r="1479" x14ac:dyDescent="0.25"/>
    <row r="1480" x14ac:dyDescent="0.25"/>
    <row r="1481" x14ac:dyDescent="0.25"/>
    <row r="1482" x14ac:dyDescent="0.25"/>
    <row r="1483" x14ac:dyDescent="0.25"/>
    <row r="1484" x14ac:dyDescent="0.25"/>
    <row r="1485" x14ac:dyDescent="0.25"/>
    <row r="1486" x14ac:dyDescent="0.25"/>
    <row r="1487" x14ac:dyDescent="0.25"/>
    <row r="1488" x14ac:dyDescent="0.25"/>
    <row r="1489" x14ac:dyDescent="0.25"/>
    <row r="1490" x14ac:dyDescent="0.25"/>
    <row r="1491" x14ac:dyDescent="0.25"/>
    <row r="1492" x14ac:dyDescent="0.25"/>
    <row r="1493" x14ac:dyDescent="0.25"/>
    <row r="1494" x14ac:dyDescent="0.25"/>
    <row r="1495" x14ac:dyDescent="0.25"/>
    <row r="1496" x14ac:dyDescent="0.25"/>
    <row r="1497" x14ac:dyDescent="0.25"/>
    <row r="1498" x14ac:dyDescent="0.25"/>
    <row r="1499" x14ac:dyDescent="0.25"/>
    <row r="1500" x14ac:dyDescent="0.25"/>
    <row r="1501" x14ac:dyDescent="0.25"/>
    <row r="1502" x14ac:dyDescent="0.25"/>
    <row r="1503" x14ac:dyDescent="0.25"/>
    <row r="1504" x14ac:dyDescent="0.25"/>
    <row r="1505" x14ac:dyDescent="0.25"/>
    <row r="1506" x14ac:dyDescent="0.25"/>
    <row r="1507" x14ac:dyDescent="0.25"/>
    <row r="1508" x14ac:dyDescent="0.25"/>
    <row r="1509" x14ac:dyDescent="0.25"/>
    <row r="1510" x14ac:dyDescent="0.25"/>
    <row r="1511" x14ac:dyDescent="0.25"/>
    <row r="1512" x14ac:dyDescent="0.25"/>
    <row r="1513" x14ac:dyDescent="0.25"/>
    <row r="1514" x14ac:dyDescent="0.25"/>
    <row r="1515" x14ac:dyDescent="0.25"/>
    <row r="1516" x14ac:dyDescent="0.25"/>
    <row r="1517" x14ac:dyDescent="0.25"/>
    <row r="1518" x14ac:dyDescent="0.25"/>
    <row r="1519" x14ac:dyDescent="0.25"/>
    <row r="1520" x14ac:dyDescent="0.25"/>
    <row r="1521" x14ac:dyDescent="0.25"/>
    <row r="1522" x14ac:dyDescent="0.25"/>
    <row r="1523" x14ac:dyDescent="0.25"/>
    <row r="1524" x14ac:dyDescent="0.25"/>
    <row r="1525" x14ac:dyDescent="0.25"/>
    <row r="1526" x14ac:dyDescent="0.25"/>
    <row r="1527" x14ac:dyDescent="0.25"/>
    <row r="1528" x14ac:dyDescent="0.25"/>
    <row r="1529" x14ac:dyDescent="0.25"/>
    <row r="1530" x14ac:dyDescent="0.25"/>
    <row r="1531" x14ac:dyDescent="0.25"/>
    <row r="1532" x14ac:dyDescent="0.25"/>
    <row r="1533" x14ac:dyDescent="0.25"/>
    <row r="1534" x14ac:dyDescent="0.25"/>
    <row r="1535" x14ac:dyDescent="0.25"/>
    <row r="1536" x14ac:dyDescent="0.25"/>
    <row r="1537" x14ac:dyDescent="0.25"/>
    <row r="1538" x14ac:dyDescent="0.25"/>
    <row r="1539" x14ac:dyDescent="0.25"/>
    <row r="1540" x14ac:dyDescent="0.25"/>
    <row r="1541" x14ac:dyDescent="0.25"/>
    <row r="1542" x14ac:dyDescent="0.25"/>
    <row r="1543" x14ac:dyDescent="0.25"/>
    <row r="1544" x14ac:dyDescent="0.25"/>
    <row r="1545" x14ac:dyDescent="0.25"/>
    <row r="1546" x14ac:dyDescent="0.25"/>
    <row r="1547" x14ac:dyDescent="0.25"/>
    <row r="1548" x14ac:dyDescent="0.25"/>
    <row r="1549" x14ac:dyDescent="0.25"/>
    <row r="1550" x14ac:dyDescent="0.25"/>
    <row r="1551" x14ac:dyDescent="0.25"/>
    <row r="1552" x14ac:dyDescent="0.25"/>
    <row r="1553" x14ac:dyDescent="0.25"/>
    <row r="1554" x14ac:dyDescent="0.25"/>
    <row r="1555" x14ac:dyDescent="0.25"/>
    <row r="1556" x14ac:dyDescent="0.25"/>
    <row r="1557" x14ac:dyDescent="0.25"/>
    <row r="1558" x14ac:dyDescent="0.25"/>
    <row r="1559" x14ac:dyDescent="0.25"/>
    <row r="1560" x14ac:dyDescent="0.25"/>
    <row r="1561" x14ac:dyDescent="0.25"/>
    <row r="1562" x14ac:dyDescent="0.25"/>
    <row r="1563" x14ac:dyDescent="0.25"/>
    <row r="1564" x14ac:dyDescent="0.25"/>
    <row r="1565" x14ac:dyDescent="0.25"/>
    <row r="1566" x14ac:dyDescent="0.25"/>
    <row r="1567" x14ac:dyDescent="0.25"/>
    <row r="1568" x14ac:dyDescent="0.25"/>
    <row r="1569" x14ac:dyDescent="0.25"/>
    <row r="1570" x14ac:dyDescent="0.25"/>
    <row r="1571" x14ac:dyDescent="0.25"/>
    <row r="1572" x14ac:dyDescent="0.25"/>
    <row r="1573" x14ac:dyDescent="0.25"/>
    <row r="1574" x14ac:dyDescent="0.25"/>
    <row r="1575" x14ac:dyDescent="0.25"/>
    <row r="1576" x14ac:dyDescent="0.25"/>
    <row r="1577" x14ac:dyDescent="0.25"/>
    <row r="1578" x14ac:dyDescent="0.25"/>
    <row r="1579" x14ac:dyDescent="0.25"/>
    <row r="1580" x14ac:dyDescent="0.25"/>
    <row r="1581" x14ac:dyDescent="0.25"/>
    <row r="1582" x14ac:dyDescent="0.25"/>
    <row r="1583" x14ac:dyDescent="0.25"/>
    <row r="1584" x14ac:dyDescent="0.25"/>
    <row r="1585" x14ac:dyDescent="0.25"/>
    <row r="1586" x14ac:dyDescent="0.25"/>
    <row r="1587" x14ac:dyDescent="0.25"/>
    <row r="1588" x14ac:dyDescent="0.25"/>
    <row r="1589" x14ac:dyDescent="0.25"/>
    <row r="1590" x14ac:dyDescent="0.25"/>
    <row r="1591" x14ac:dyDescent="0.25"/>
    <row r="1592" x14ac:dyDescent="0.25"/>
    <row r="1593" x14ac:dyDescent="0.25"/>
    <row r="1594" x14ac:dyDescent="0.25"/>
    <row r="1595" x14ac:dyDescent="0.25"/>
    <row r="1596" x14ac:dyDescent="0.25"/>
    <row r="1597" x14ac:dyDescent="0.25"/>
    <row r="1598" x14ac:dyDescent="0.25"/>
    <row r="1599" x14ac:dyDescent="0.25"/>
    <row r="1600" x14ac:dyDescent="0.25"/>
    <row r="1601" x14ac:dyDescent="0.25"/>
    <row r="1602" x14ac:dyDescent="0.25"/>
    <row r="1603" x14ac:dyDescent="0.25"/>
    <row r="1604" x14ac:dyDescent="0.25"/>
    <row r="1605" x14ac:dyDescent="0.25"/>
    <row r="1606" x14ac:dyDescent="0.25"/>
    <row r="1607" x14ac:dyDescent="0.25"/>
    <row r="1608" x14ac:dyDescent="0.25"/>
    <row r="1609" x14ac:dyDescent="0.25"/>
    <row r="1610" x14ac:dyDescent="0.25"/>
    <row r="1611" x14ac:dyDescent="0.25"/>
    <row r="1612" x14ac:dyDescent="0.25"/>
    <row r="1613" x14ac:dyDescent="0.25"/>
    <row r="1614" x14ac:dyDescent="0.25"/>
    <row r="1615" x14ac:dyDescent="0.25"/>
    <row r="1616" x14ac:dyDescent="0.25"/>
    <row r="1617" x14ac:dyDescent="0.25"/>
    <row r="1618" x14ac:dyDescent="0.25"/>
    <row r="1619" x14ac:dyDescent="0.25"/>
    <row r="1620" x14ac:dyDescent="0.25"/>
    <row r="1621" x14ac:dyDescent="0.25"/>
    <row r="1622" x14ac:dyDescent="0.25"/>
    <row r="1623" x14ac:dyDescent="0.25"/>
    <row r="1624" x14ac:dyDescent="0.25"/>
    <row r="1625" x14ac:dyDescent="0.25"/>
    <row r="1626" x14ac:dyDescent="0.25"/>
    <row r="1627" x14ac:dyDescent="0.25"/>
    <row r="1628" x14ac:dyDescent="0.25"/>
    <row r="1629" x14ac:dyDescent="0.25"/>
    <row r="1630" x14ac:dyDescent="0.25"/>
    <row r="1631" x14ac:dyDescent="0.25"/>
    <row r="1632" x14ac:dyDescent="0.25"/>
    <row r="1633" x14ac:dyDescent="0.25"/>
    <row r="1634" x14ac:dyDescent="0.25"/>
    <row r="1635" x14ac:dyDescent="0.25"/>
    <row r="1636" x14ac:dyDescent="0.25"/>
    <row r="1637" x14ac:dyDescent="0.25"/>
    <row r="1638" x14ac:dyDescent="0.25"/>
    <row r="1639" x14ac:dyDescent="0.25"/>
    <row r="1640" x14ac:dyDescent="0.25"/>
    <row r="1641" x14ac:dyDescent="0.25"/>
    <row r="1642" x14ac:dyDescent="0.25"/>
    <row r="1643" x14ac:dyDescent="0.25"/>
    <row r="1644" x14ac:dyDescent="0.25"/>
    <row r="1645" x14ac:dyDescent="0.25"/>
    <row r="1646" x14ac:dyDescent="0.25"/>
    <row r="1647" x14ac:dyDescent="0.25"/>
    <row r="1648" x14ac:dyDescent="0.25"/>
    <row r="1649" x14ac:dyDescent="0.25"/>
    <row r="1650" x14ac:dyDescent="0.25"/>
    <row r="1651" x14ac:dyDescent="0.25"/>
    <row r="1652" x14ac:dyDescent="0.25"/>
    <row r="1653" x14ac:dyDescent="0.25"/>
    <row r="1654" x14ac:dyDescent="0.25"/>
    <row r="1655" x14ac:dyDescent="0.25"/>
    <row r="1656" x14ac:dyDescent="0.25"/>
    <row r="1657" x14ac:dyDescent="0.25"/>
    <row r="1658" x14ac:dyDescent="0.25"/>
    <row r="1659" x14ac:dyDescent="0.25"/>
    <row r="1660" x14ac:dyDescent="0.25"/>
    <row r="1661" x14ac:dyDescent="0.25"/>
    <row r="1662" x14ac:dyDescent="0.25"/>
    <row r="1663" x14ac:dyDescent="0.25"/>
    <row r="1664" x14ac:dyDescent="0.25"/>
    <row r="1665" x14ac:dyDescent="0.25"/>
    <row r="1666" x14ac:dyDescent="0.25"/>
    <row r="1667" x14ac:dyDescent="0.25"/>
    <row r="1668" x14ac:dyDescent="0.25"/>
    <row r="1669" x14ac:dyDescent="0.25"/>
    <row r="1670" x14ac:dyDescent="0.25"/>
    <row r="1671" x14ac:dyDescent="0.25"/>
    <row r="1672" x14ac:dyDescent="0.25"/>
    <row r="1673" x14ac:dyDescent="0.25"/>
    <row r="1674" x14ac:dyDescent="0.25"/>
    <row r="1675" x14ac:dyDescent="0.25"/>
    <row r="1676" x14ac:dyDescent="0.25"/>
    <row r="1677" x14ac:dyDescent="0.25"/>
    <row r="1678" x14ac:dyDescent="0.25"/>
    <row r="1679" x14ac:dyDescent="0.25"/>
    <row r="1680" x14ac:dyDescent="0.25"/>
    <row r="1681" x14ac:dyDescent="0.25"/>
    <row r="1682" x14ac:dyDescent="0.25"/>
    <row r="1683" x14ac:dyDescent="0.25"/>
    <row r="1684" x14ac:dyDescent="0.25"/>
    <row r="1685" x14ac:dyDescent="0.25"/>
    <row r="1686" x14ac:dyDescent="0.25"/>
    <row r="1687" x14ac:dyDescent="0.25"/>
    <row r="1688" x14ac:dyDescent="0.25"/>
    <row r="1689" x14ac:dyDescent="0.25"/>
    <row r="1690" x14ac:dyDescent="0.25"/>
    <row r="1691" x14ac:dyDescent="0.25"/>
    <row r="1692" x14ac:dyDescent="0.25"/>
    <row r="1693" x14ac:dyDescent="0.25"/>
    <row r="1694" x14ac:dyDescent="0.25"/>
    <row r="1695" x14ac:dyDescent="0.25"/>
    <row r="1696" x14ac:dyDescent="0.25"/>
    <row r="1697" x14ac:dyDescent="0.25"/>
    <row r="1698" x14ac:dyDescent="0.25"/>
    <row r="1699" x14ac:dyDescent="0.25"/>
    <row r="1700" x14ac:dyDescent="0.25"/>
    <row r="1701" x14ac:dyDescent="0.25"/>
    <row r="1702" x14ac:dyDescent="0.25"/>
    <row r="1703" x14ac:dyDescent="0.25"/>
    <row r="1704" x14ac:dyDescent="0.25"/>
    <row r="1705" x14ac:dyDescent="0.25"/>
    <row r="1706" x14ac:dyDescent="0.25"/>
    <row r="1707" x14ac:dyDescent="0.25"/>
    <row r="1708" x14ac:dyDescent="0.25"/>
    <row r="1709" x14ac:dyDescent="0.25"/>
    <row r="1710" x14ac:dyDescent="0.25"/>
    <row r="1711" x14ac:dyDescent="0.25"/>
    <row r="1712" x14ac:dyDescent="0.25"/>
    <row r="1713" x14ac:dyDescent="0.25"/>
    <row r="1714" x14ac:dyDescent="0.25"/>
    <row r="1715" x14ac:dyDescent="0.25"/>
    <row r="1716" x14ac:dyDescent="0.25"/>
    <row r="1717" x14ac:dyDescent="0.25"/>
    <row r="1718" x14ac:dyDescent="0.25"/>
    <row r="1719" x14ac:dyDescent="0.25"/>
    <row r="1720" x14ac:dyDescent="0.25"/>
    <row r="1721" x14ac:dyDescent="0.25"/>
    <row r="1722" x14ac:dyDescent="0.25"/>
    <row r="1723" x14ac:dyDescent="0.25"/>
    <row r="1724" x14ac:dyDescent="0.25"/>
    <row r="1725" x14ac:dyDescent="0.25"/>
    <row r="1726" x14ac:dyDescent="0.25"/>
    <row r="1727" x14ac:dyDescent="0.25"/>
    <row r="1728" x14ac:dyDescent="0.25"/>
    <row r="1729" x14ac:dyDescent="0.25"/>
    <row r="1730" x14ac:dyDescent="0.25"/>
    <row r="1731" x14ac:dyDescent="0.25"/>
    <row r="1732" x14ac:dyDescent="0.25"/>
    <row r="1733" x14ac:dyDescent="0.25"/>
    <row r="1734" x14ac:dyDescent="0.25"/>
    <row r="1735" x14ac:dyDescent="0.25"/>
    <row r="1736" x14ac:dyDescent="0.25"/>
    <row r="1737" x14ac:dyDescent="0.25"/>
    <row r="1738" x14ac:dyDescent="0.25"/>
    <row r="1739" x14ac:dyDescent="0.25"/>
    <row r="1740" x14ac:dyDescent="0.25"/>
    <row r="1741" x14ac:dyDescent="0.25"/>
    <row r="1742" x14ac:dyDescent="0.25"/>
    <row r="1743" x14ac:dyDescent="0.25"/>
    <row r="1744" x14ac:dyDescent="0.25"/>
    <row r="1745" x14ac:dyDescent="0.25"/>
    <row r="1746" x14ac:dyDescent="0.25"/>
    <row r="1747" x14ac:dyDescent="0.25"/>
    <row r="1748" x14ac:dyDescent="0.25"/>
    <row r="1749" x14ac:dyDescent="0.25"/>
    <row r="1750" x14ac:dyDescent="0.25"/>
    <row r="1751" x14ac:dyDescent="0.25"/>
    <row r="1752" x14ac:dyDescent="0.25"/>
    <row r="1753" x14ac:dyDescent="0.25"/>
    <row r="1754" x14ac:dyDescent="0.25"/>
    <row r="1755" x14ac:dyDescent="0.25"/>
    <row r="1756" x14ac:dyDescent="0.25"/>
    <row r="1757" x14ac:dyDescent="0.25"/>
    <row r="1758" x14ac:dyDescent="0.25"/>
    <row r="1759" x14ac:dyDescent="0.25"/>
    <row r="1760" x14ac:dyDescent="0.25"/>
    <row r="1761" x14ac:dyDescent="0.25"/>
    <row r="1762" x14ac:dyDescent="0.25"/>
    <row r="1763" x14ac:dyDescent="0.25"/>
    <row r="1764" x14ac:dyDescent="0.25"/>
    <row r="1765" x14ac:dyDescent="0.25"/>
    <row r="1766" x14ac:dyDescent="0.25"/>
    <row r="1767" x14ac:dyDescent="0.25"/>
    <row r="1768" x14ac:dyDescent="0.25"/>
    <row r="1769" x14ac:dyDescent="0.25"/>
    <row r="1770" x14ac:dyDescent="0.25"/>
    <row r="1771" x14ac:dyDescent="0.25"/>
    <row r="1772" x14ac:dyDescent="0.25"/>
    <row r="1773" x14ac:dyDescent="0.25"/>
    <row r="1774" x14ac:dyDescent="0.25"/>
    <row r="1775" x14ac:dyDescent="0.25"/>
    <row r="1776" x14ac:dyDescent="0.25"/>
    <row r="1777" x14ac:dyDescent="0.25"/>
    <row r="1778" x14ac:dyDescent="0.25"/>
    <row r="1779" x14ac:dyDescent="0.25"/>
    <row r="1780" x14ac:dyDescent="0.25"/>
    <row r="1781" x14ac:dyDescent="0.25"/>
    <row r="1782" x14ac:dyDescent="0.25"/>
    <row r="1783" x14ac:dyDescent="0.25"/>
    <row r="1784" x14ac:dyDescent="0.25"/>
    <row r="1785" x14ac:dyDescent="0.25"/>
    <row r="1786" x14ac:dyDescent="0.25"/>
    <row r="1787" x14ac:dyDescent="0.25"/>
    <row r="1788" x14ac:dyDescent="0.25"/>
    <row r="1789" x14ac:dyDescent="0.25"/>
    <row r="1790" x14ac:dyDescent="0.25"/>
    <row r="1791" x14ac:dyDescent="0.25"/>
    <row r="1792" x14ac:dyDescent="0.25"/>
    <row r="1793" x14ac:dyDescent="0.25"/>
    <row r="1794" x14ac:dyDescent="0.25"/>
    <row r="1795" x14ac:dyDescent="0.25"/>
    <row r="1796" x14ac:dyDescent="0.25"/>
    <row r="1797" x14ac:dyDescent="0.25"/>
    <row r="1798" x14ac:dyDescent="0.25"/>
    <row r="1799" x14ac:dyDescent="0.25"/>
    <row r="1800" x14ac:dyDescent="0.25"/>
    <row r="1801" x14ac:dyDescent="0.25"/>
    <row r="1802" x14ac:dyDescent="0.25"/>
    <row r="1803" x14ac:dyDescent="0.25"/>
    <row r="1804" x14ac:dyDescent="0.25"/>
    <row r="1805" x14ac:dyDescent="0.25"/>
    <row r="1806" x14ac:dyDescent="0.25"/>
    <row r="1807" x14ac:dyDescent="0.25"/>
    <row r="1808" x14ac:dyDescent="0.25"/>
    <row r="1809" x14ac:dyDescent="0.25"/>
    <row r="1810" x14ac:dyDescent="0.25"/>
    <row r="1811" x14ac:dyDescent="0.25"/>
    <row r="1812" x14ac:dyDescent="0.25"/>
    <row r="1813" x14ac:dyDescent="0.25"/>
    <row r="1814" x14ac:dyDescent="0.25"/>
    <row r="1815" x14ac:dyDescent="0.25"/>
    <row r="1816" x14ac:dyDescent="0.25"/>
    <row r="1817" x14ac:dyDescent="0.25"/>
    <row r="1818" x14ac:dyDescent="0.25"/>
    <row r="1819" x14ac:dyDescent="0.25"/>
    <row r="1820" x14ac:dyDescent="0.25"/>
    <row r="1821" x14ac:dyDescent="0.25"/>
    <row r="1822" x14ac:dyDescent="0.25"/>
    <row r="1823" x14ac:dyDescent="0.25"/>
    <row r="1824" x14ac:dyDescent="0.25"/>
    <row r="1825" x14ac:dyDescent="0.25"/>
    <row r="1826" x14ac:dyDescent="0.25"/>
    <row r="1827" x14ac:dyDescent="0.25"/>
    <row r="1828" x14ac:dyDescent="0.25"/>
    <row r="1829" x14ac:dyDescent="0.25"/>
    <row r="1830" x14ac:dyDescent="0.25"/>
    <row r="1831" x14ac:dyDescent="0.25"/>
    <row r="1832" x14ac:dyDescent="0.25"/>
    <row r="1833" x14ac:dyDescent="0.25"/>
    <row r="1834" x14ac:dyDescent="0.25"/>
    <row r="1835" x14ac:dyDescent="0.25"/>
    <row r="1836" x14ac:dyDescent="0.25"/>
    <row r="1837" x14ac:dyDescent="0.25"/>
    <row r="1838" x14ac:dyDescent="0.25"/>
    <row r="1839" x14ac:dyDescent="0.25"/>
    <row r="1840" x14ac:dyDescent="0.25"/>
    <row r="1841" x14ac:dyDescent="0.25"/>
    <row r="1842" x14ac:dyDescent="0.25"/>
    <row r="1843" x14ac:dyDescent="0.25"/>
    <row r="1844" x14ac:dyDescent="0.25"/>
    <row r="1845" x14ac:dyDescent="0.25"/>
    <row r="1846" x14ac:dyDescent="0.25"/>
    <row r="1847" x14ac:dyDescent="0.25"/>
    <row r="1848" x14ac:dyDescent="0.25"/>
    <row r="1849" x14ac:dyDescent="0.25"/>
    <row r="1850" x14ac:dyDescent="0.25"/>
    <row r="1851" x14ac:dyDescent="0.25"/>
    <row r="1852" x14ac:dyDescent="0.25"/>
    <row r="1853" x14ac:dyDescent="0.25"/>
    <row r="1854" x14ac:dyDescent="0.25"/>
    <row r="1855" x14ac:dyDescent="0.25"/>
    <row r="1856" x14ac:dyDescent="0.25"/>
    <row r="1857" x14ac:dyDescent="0.25"/>
    <row r="1858" x14ac:dyDescent="0.25"/>
    <row r="1859" x14ac:dyDescent="0.25"/>
    <row r="1860" x14ac:dyDescent="0.25"/>
    <row r="1861" x14ac:dyDescent="0.25"/>
    <row r="1862" x14ac:dyDescent="0.25"/>
    <row r="1863" x14ac:dyDescent="0.25"/>
    <row r="1864" x14ac:dyDescent="0.25"/>
    <row r="1865" x14ac:dyDescent="0.25"/>
    <row r="1866" x14ac:dyDescent="0.25"/>
    <row r="1867" x14ac:dyDescent="0.25"/>
    <row r="1868" x14ac:dyDescent="0.25"/>
    <row r="1869" x14ac:dyDescent="0.25"/>
    <row r="1870" x14ac:dyDescent="0.25"/>
    <row r="1871" x14ac:dyDescent="0.25"/>
    <row r="1872" x14ac:dyDescent="0.25"/>
    <row r="1873" x14ac:dyDescent="0.25"/>
    <row r="1874" x14ac:dyDescent="0.25"/>
    <row r="1875" x14ac:dyDescent="0.25"/>
    <row r="1876" x14ac:dyDescent="0.25"/>
    <row r="1877" x14ac:dyDescent="0.25"/>
    <row r="1878" x14ac:dyDescent="0.25"/>
    <row r="1879" x14ac:dyDescent="0.25"/>
    <row r="1880" x14ac:dyDescent="0.25"/>
    <row r="1881" x14ac:dyDescent="0.25"/>
    <row r="1882" x14ac:dyDescent="0.25"/>
    <row r="1883" x14ac:dyDescent="0.25"/>
    <row r="1884" x14ac:dyDescent="0.25"/>
    <row r="1885" x14ac:dyDescent="0.25"/>
    <row r="1886" x14ac:dyDescent="0.25"/>
    <row r="1887" x14ac:dyDescent="0.25"/>
    <row r="1888" x14ac:dyDescent="0.25"/>
    <row r="1889" x14ac:dyDescent="0.25"/>
    <row r="1890" x14ac:dyDescent="0.25"/>
    <row r="1891" x14ac:dyDescent="0.25"/>
    <row r="1892" x14ac:dyDescent="0.25"/>
    <row r="1893" x14ac:dyDescent="0.25"/>
    <row r="1894" x14ac:dyDescent="0.25"/>
    <row r="1895" x14ac:dyDescent="0.25"/>
    <row r="1896" x14ac:dyDescent="0.25"/>
    <row r="1897" x14ac:dyDescent="0.25"/>
    <row r="1898" x14ac:dyDescent="0.25"/>
    <row r="1899" x14ac:dyDescent="0.25"/>
    <row r="1900" x14ac:dyDescent="0.25"/>
    <row r="1901" x14ac:dyDescent="0.25"/>
    <row r="1902" x14ac:dyDescent="0.25"/>
    <row r="1903" x14ac:dyDescent="0.25"/>
    <row r="1904" x14ac:dyDescent="0.25"/>
    <row r="1905" x14ac:dyDescent="0.25"/>
    <row r="1906" x14ac:dyDescent="0.25"/>
    <row r="1907" x14ac:dyDescent="0.25"/>
    <row r="1908" x14ac:dyDescent="0.25"/>
    <row r="1909" x14ac:dyDescent="0.25"/>
    <row r="1910" x14ac:dyDescent="0.25"/>
    <row r="1911" x14ac:dyDescent="0.25"/>
    <row r="1912" x14ac:dyDescent="0.25"/>
    <row r="1913" x14ac:dyDescent="0.25"/>
    <row r="1914" x14ac:dyDescent="0.25"/>
    <row r="1915" x14ac:dyDescent="0.25"/>
    <row r="1916" x14ac:dyDescent="0.25"/>
    <row r="1917" x14ac:dyDescent="0.25"/>
    <row r="1918" x14ac:dyDescent="0.25"/>
    <row r="1919" x14ac:dyDescent="0.25"/>
    <row r="1920" x14ac:dyDescent="0.25"/>
    <row r="1921" x14ac:dyDescent="0.25"/>
    <row r="1922" x14ac:dyDescent="0.25"/>
    <row r="1923" x14ac:dyDescent="0.25"/>
    <row r="1924" x14ac:dyDescent="0.25"/>
    <row r="1925" x14ac:dyDescent="0.25"/>
    <row r="1926" x14ac:dyDescent="0.25"/>
    <row r="1927" x14ac:dyDescent="0.25"/>
    <row r="1928" x14ac:dyDescent="0.25"/>
    <row r="1929" x14ac:dyDescent="0.25"/>
    <row r="1930" x14ac:dyDescent="0.25"/>
    <row r="1931" x14ac:dyDescent="0.25"/>
    <row r="1932" x14ac:dyDescent="0.25"/>
    <row r="1933" x14ac:dyDescent="0.25"/>
    <row r="1934" x14ac:dyDescent="0.25"/>
    <row r="1935" x14ac:dyDescent="0.25"/>
    <row r="1936" x14ac:dyDescent="0.25"/>
    <row r="1937" x14ac:dyDescent="0.25"/>
    <row r="1938" x14ac:dyDescent="0.25"/>
    <row r="1939" x14ac:dyDescent="0.25"/>
    <row r="1940" x14ac:dyDescent="0.25"/>
    <row r="1941" x14ac:dyDescent="0.25"/>
    <row r="1942" x14ac:dyDescent="0.25"/>
    <row r="1943" x14ac:dyDescent="0.25"/>
    <row r="1944" x14ac:dyDescent="0.25"/>
    <row r="1945" x14ac:dyDescent="0.25"/>
    <row r="1946" x14ac:dyDescent="0.25"/>
    <row r="1947" x14ac:dyDescent="0.25"/>
    <row r="1948" x14ac:dyDescent="0.25"/>
    <row r="1949" x14ac:dyDescent="0.25"/>
    <row r="1950" x14ac:dyDescent="0.25"/>
    <row r="1951" x14ac:dyDescent="0.25"/>
    <row r="1952" x14ac:dyDescent="0.25"/>
    <row r="1953" x14ac:dyDescent="0.25"/>
    <row r="1954" x14ac:dyDescent="0.25"/>
    <row r="1955" x14ac:dyDescent="0.25"/>
    <row r="1956" x14ac:dyDescent="0.25"/>
    <row r="1957" x14ac:dyDescent="0.25"/>
    <row r="1958" x14ac:dyDescent="0.25"/>
    <row r="1959" x14ac:dyDescent="0.25"/>
    <row r="1960" x14ac:dyDescent="0.25"/>
    <row r="1961" x14ac:dyDescent="0.25"/>
    <row r="1962" x14ac:dyDescent="0.25"/>
    <row r="1963" x14ac:dyDescent="0.25"/>
    <row r="1964" x14ac:dyDescent="0.25"/>
    <row r="1965" x14ac:dyDescent="0.25"/>
    <row r="1966" x14ac:dyDescent="0.25"/>
    <row r="1967" x14ac:dyDescent="0.25"/>
    <row r="1968" x14ac:dyDescent="0.25"/>
    <row r="1969" x14ac:dyDescent="0.25"/>
    <row r="1970" x14ac:dyDescent="0.25"/>
    <row r="1971" x14ac:dyDescent="0.25"/>
    <row r="1972" x14ac:dyDescent="0.25"/>
    <row r="1973" x14ac:dyDescent="0.25"/>
    <row r="1974" x14ac:dyDescent="0.25"/>
    <row r="1975" x14ac:dyDescent="0.25"/>
    <row r="1976" x14ac:dyDescent="0.25"/>
    <row r="1977" x14ac:dyDescent="0.25"/>
    <row r="1978" x14ac:dyDescent="0.25"/>
    <row r="1979" x14ac:dyDescent="0.25"/>
    <row r="1980" x14ac:dyDescent="0.25"/>
    <row r="1981" x14ac:dyDescent="0.25"/>
    <row r="1982" x14ac:dyDescent="0.25"/>
    <row r="1983" x14ac:dyDescent="0.25"/>
    <row r="1984" x14ac:dyDescent="0.25"/>
    <row r="1985" x14ac:dyDescent="0.25"/>
    <row r="1986" x14ac:dyDescent="0.25"/>
    <row r="1987" x14ac:dyDescent="0.25"/>
    <row r="1988" x14ac:dyDescent="0.25"/>
    <row r="1989" x14ac:dyDescent="0.25"/>
    <row r="1990" x14ac:dyDescent="0.25"/>
    <row r="1991" x14ac:dyDescent="0.25"/>
    <row r="1992" x14ac:dyDescent="0.25"/>
    <row r="1993" x14ac:dyDescent="0.25"/>
    <row r="1994" x14ac:dyDescent="0.25"/>
    <row r="1995" x14ac:dyDescent="0.25"/>
    <row r="1996" x14ac:dyDescent="0.25"/>
    <row r="1997" x14ac:dyDescent="0.25"/>
    <row r="1998" x14ac:dyDescent="0.25"/>
    <row r="1999" x14ac:dyDescent="0.25"/>
    <row r="2000" x14ac:dyDescent="0.25"/>
  </sheetData>
  <sheetProtection algorithmName="SHA-512" hashValue="TPJOXZJmG4sZjUA7h6uDGRiuD38WmGV0symzLw+jxuKjjtCC2ynQ09DH96dxlZ1nas7nq2p52Qr7EuWCyhKVsg==" saltValue="r8kK+WbOVlv5LNey+sWxtg==" spinCount="100000" sheet="1" objects="1" scenarios="1" insertRows="0" deleteRows="0" autoFilter="0"/>
  <autoFilter ref="A3:Q3"/>
  <conditionalFormatting sqref="B4:G103">
    <cfRule type="containsBlanks" dxfId="6" priority="7">
      <formula>LEN(TRIM(B4))=0</formula>
    </cfRule>
  </conditionalFormatting>
  <conditionalFormatting sqref="P4:P103">
    <cfRule type="containsBlanks" dxfId="5" priority="6">
      <formula>LEN(TRIM(P4))=0</formula>
    </cfRule>
  </conditionalFormatting>
  <conditionalFormatting sqref="R2">
    <cfRule type="expression" dxfId="4" priority="4">
      <formula>$S$2&gt;0</formula>
    </cfRule>
    <cfRule type="expression" dxfId="3" priority="5">
      <formula>$S$2=0</formula>
    </cfRule>
  </conditionalFormatting>
  <conditionalFormatting sqref="R4:R103">
    <cfRule type="containsText" dxfId="2" priority="3" operator="containsText" text="hibás">
      <formula>NOT(ISERROR(SEARCH("hibás",R4)))</formula>
    </cfRule>
  </conditionalFormatting>
  <conditionalFormatting sqref="D2:E2">
    <cfRule type="expression" dxfId="1" priority="1">
      <formula>$E$2&gt;0</formula>
    </cfRule>
    <cfRule type="expression" dxfId="0" priority="2">
      <formula>$E$2=0</formula>
    </cfRule>
  </conditionalFormatting>
  <dataValidations count="3">
    <dataValidation type="whole" operator="greaterThanOrEqual" allowBlank="1" showInputMessage="1" showErrorMessage="1" error="A cella értéke csak egész szám lehet és nem lehet kisebb, mint a sor &quot;G&quot; oszlop szerinti értéke. Amennyiben a sor &quot;G&quot; oszlop szerinti adata hibás, először annak javítása szükséges." sqref="P4:P103">
      <formula1>G4</formula1>
    </dataValidation>
    <dataValidation type="list" allowBlank="1" showInputMessage="1" showErrorMessage="1" sqref="F4:F103 C4:D103">
      <formula1>INDIRECT(B4)</formula1>
    </dataValidation>
    <dataValidation type="whole" operator="greaterThan" allowBlank="1" showInputMessage="1" showErrorMessage="1" sqref="G4:G103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scale="56" fitToHeight="0" orientation="landscape" r:id="rId1"/>
  <headerFooter>
    <oddFooter>&amp;C&amp;N / &amp;P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Háttértáblák!$J$15:$J$21</xm:f>
          </x14:formula1>
          <xm:sqref>E4:E103</xm:sqref>
        </x14:dataValidation>
        <x14:dataValidation type="list" allowBlank="1" showInputMessage="1" showErrorMessage="1">
          <x14:formula1>
            <xm:f>Háttértáblák!$A$13</xm:f>
          </x14:formula1>
          <xm:sqref>B4:B103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16</vt:i4>
      </vt:variant>
      <vt:variant>
        <vt:lpstr>Névvel ellátott tartományok</vt:lpstr>
      </vt:variant>
      <vt:variant>
        <vt:i4>74</vt:i4>
      </vt:variant>
    </vt:vector>
  </HeadingPairs>
  <TitlesOfParts>
    <vt:vector size="90" baseType="lpstr">
      <vt:lpstr>Nyitó kérelem összesítő</vt:lpstr>
      <vt:lpstr>Nyitó elszámolás összesítő</vt:lpstr>
      <vt:lpstr>Szakmai_oktatás_1</vt:lpstr>
      <vt:lpstr>Szakmai_képzés_1</vt:lpstr>
      <vt:lpstr>Egyéb_képzés_1</vt:lpstr>
      <vt:lpstr>Felnőttokt._Szakk.+Egyéb_képz_1</vt:lpstr>
      <vt:lpstr>Kedvezményezettek adatai</vt:lpstr>
      <vt:lpstr>Háttértáblák</vt:lpstr>
      <vt:lpstr>Szakmajegyzék 2021.I.1-</vt:lpstr>
      <vt:lpstr>Szakmajegyzék 2021.09.01-től</vt:lpstr>
      <vt:lpstr>Szakképesítések 21.01.08. PK-k</vt:lpstr>
      <vt:lpstr>Szakképesítések 21.08.02. PK-k</vt:lpstr>
      <vt:lpstr>Szakmaszorzók</vt:lpstr>
      <vt:lpstr>Támogatás szorzat tényezői</vt:lpstr>
      <vt:lpstr>Záró elszámolás összesítő</vt:lpstr>
      <vt:lpstr>Felnőttokt._Szakk.+Egyéb_képz_2</vt:lpstr>
      <vt:lpstr>'Szakmajegyzék 2021.09.01-től'!_ftn1</vt:lpstr>
      <vt:lpstr>'Szakmajegyzék 2021.09.01-től'!_ftn10</vt:lpstr>
      <vt:lpstr>'Szakmajegyzék 2021.09.01-től'!_ftn11</vt:lpstr>
      <vt:lpstr>'Szakmajegyzék 2021.09.01-től'!_ftn12</vt:lpstr>
      <vt:lpstr>'Szakmajegyzék 2021.09.01-től'!_ftn13</vt:lpstr>
      <vt:lpstr>'Szakmajegyzék 2021.09.01-től'!_ftn14</vt:lpstr>
      <vt:lpstr>'Szakmajegyzék 2021.09.01-től'!_ftn15</vt:lpstr>
      <vt:lpstr>'Szakmajegyzék 2021.09.01-től'!_ftn16</vt:lpstr>
      <vt:lpstr>'Szakmajegyzék 2021.09.01-től'!_ftn17</vt:lpstr>
      <vt:lpstr>'Szakmajegyzék 2021.09.01-től'!_ftn18</vt:lpstr>
      <vt:lpstr>'Szakmajegyzék 2021.09.01-től'!_ftn19</vt:lpstr>
      <vt:lpstr>'Szakmajegyzék 2021.09.01-től'!_ftn2</vt:lpstr>
      <vt:lpstr>'Szakmajegyzék 2021.09.01-től'!_ftn20</vt:lpstr>
      <vt:lpstr>'Szakmajegyzék 2021.09.01-től'!_ftn21</vt:lpstr>
      <vt:lpstr>'Szakmajegyzék 2021.09.01-től'!_ftn22</vt:lpstr>
      <vt:lpstr>'Szakmajegyzék 2021.09.01-től'!_ftn23</vt:lpstr>
      <vt:lpstr>'Szakmajegyzék 2021.09.01-től'!_ftn24</vt:lpstr>
      <vt:lpstr>'Szakmajegyzék 2021.09.01-től'!_ftn25</vt:lpstr>
      <vt:lpstr>'Szakmajegyzék 2021.09.01-től'!_ftn26</vt:lpstr>
      <vt:lpstr>'Szakmajegyzék 2021.09.01-től'!_ftn27</vt:lpstr>
      <vt:lpstr>'Szakmajegyzék 2021.09.01-től'!_ftn28</vt:lpstr>
      <vt:lpstr>'Szakmajegyzék 2021.09.01-től'!_ftn29</vt:lpstr>
      <vt:lpstr>'Szakmajegyzék 2021.09.01-től'!_ftn3</vt:lpstr>
      <vt:lpstr>'Szakmajegyzék 2021.09.01-től'!_ftn30</vt:lpstr>
      <vt:lpstr>'Szakmajegyzék 2021.09.01-től'!_ftn31</vt:lpstr>
      <vt:lpstr>'Szakmajegyzék 2021.09.01-től'!_ftn32</vt:lpstr>
      <vt:lpstr>'Szakmajegyzék 2021.09.01-től'!_ftn33</vt:lpstr>
      <vt:lpstr>'Szakmajegyzék 2021.09.01-től'!_ftn4</vt:lpstr>
      <vt:lpstr>'Szakmajegyzék 2021.09.01-től'!_ftn5</vt:lpstr>
      <vt:lpstr>'Szakmajegyzék 2021.09.01-től'!_ftn6</vt:lpstr>
      <vt:lpstr>'Szakmajegyzék 2021.09.01-től'!_ftn7</vt:lpstr>
      <vt:lpstr>'Szakmajegyzék 2021.09.01-től'!_ftn8</vt:lpstr>
      <vt:lpstr>'Szakmajegyzék 2021.09.01-től'!_ftn9</vt:lpstr>
      <vt:lpstr>'Szakmajegyzék 2021.09.01-től'!_ftnref1</vt:lpstr>
      <vt:lpstr>'Szakmajegyzék 2021.09.01-től'!_ftnref10</vt:lpstr>
      <vt:lpstr>'Szakmajegyzék 2021.09.01-től'!_ftnref11</vt:lpstr>
      <vt:lpstr>'Szakmajegyzék 2021.09.01-től'!_ftnref12</vt:lpstr>
      <vt:lpstr>'Szakmajegyzék 2021.09.01-től'!_ftnref13</vt:lpstr>
      <vt:lpstr>'Szakmajegyzék 2021.09.01-től'!_ftnref14</vt:lpstr>
      <vt:lpstr>'Szakmajegyzék 2021.09.01-től'!_ftnref15</vt:lpstr>
      <vt:lpstr>'Szakmajegyzék 2021.09.01-től'!_ftnref16</vt:lpstr>
      <vt:lpstr>'Szakmajegyzék 2021.09.01-től'!_ftnref17</vt:lpstr>
      <vt:lpstr>'Szakmajegyzék 2021.09.01-től'!_ftnref18</vt:lpstr>
      <vt:lpstr>'Szakmajegyzék 2021.09.01-től'!_ftnref19</vt:lpstr>
      <vt:lpstr>'Szakmajegyzék 2021.09.01-től'!_ftnref2</vt:lpstr>
      <vt:lpstr>'Szakmajegyzék 2021.09.01-től'!_ftnref20</vt:lpstr>
      <vt:lpstr>'Szakmajegyzék 2021.09.01-től'!_ftnref21</vt:lpstr>
      <vt:lpstr>'Szakmajegyzék 2021.09.01-től'!_ftnref22</vt:lpstr>
      <vt:lpstr>'Szakmajegyzék 2021.09.01-től'!_ftnref23</vt:lpstr>
      <vt:lpstr>'Szakmajegyzék 2021.09.01-től'!_ftnref24</vt:lpstr>
      <vt:lpstr>'Szakmajegyzék 2021.09.01-től'!_ftnref25</vt:lpstr>
      <vt:lpstr>'Szakmajegyzék 2021.09.01-től'!_ftnref26</vt:lpstr>
      <vt:lpstr>'Szakmajegyzék 2021.09.01-től'!_ftnref27</vt:lpstr>
      <vt:lpstr>'Szakmajegyzék 2021.09.01-től'!_ftnref28</vt:lpstr>
      <vt:lpstr>'Szakmajegyzék 2021.09.01-től'!_ftnref29</vt:lpstr>
      <vt:lpstr>'Szakmajegyzék 2021.09.01-től'!_ftnref3</vt:lpstr>
      <vt:lpstr>'Szakmajegyzék 2021.09.01-től'!_ftnref30</vt:lpstr>
      <vt:lpstr>'Szakmajegyzék 2021.09.01-től'!_ftnref31</vt:lpstr>
      <vt:lpstr>'Szakmajegyzék 2021.09.01-től'!_ftnref32</vt:lpstr>
      <vt:lpstr>'Szakmajegyzék 2021.09.01-től'!_ftnref33</vt:lpstr>
      <vt:lpstr>'Szakmajegyzék 2021.09.01-től'!_ftnref4</vt:lpstr>
      <vt:lpstr>'Szakmajegyzék 2021.09.01-től'!_ftnref5</vt:lpstr>
      <vt:lpstr>'Szakmajegyzék 2021.09.01-től'!_ftnref6</vt:lpstr>
      <vt:lpstr>'Szakmajegyzék 2021.09.01-től'!_ftnref7</vt:lpstr>
      <vt:lpstr>'Szakmajegyzék 2021.09.01-től'!_ftnref8</vt:lpstr>
      <vt:lpstr>'Szakmajegyzék 2021.09.01-től'!_ftnref9</vt:lpstr>
      <vt:lpstr>Egyéb_képzés_1!Nyomtatási_cím</vt:lpstr>
      <vt:lpstr>'Felnőttokt._Szakk.+Egyéb_képz_1'!Nyomtatási_cím</vt:lpstr>
      <vt:lpstr>'Felnőttokt._Szakk.+Egyéb_képz_2'!Nyomtatási_cím</vt:lpstr>
      <vt:lpstr>Szakmai_oktatás_1!Nyomtatási_cím</vt:lpstr>
      <vt:lpstr>'Nyitó elszámolás összesítő'!Nyomtatási_terület</vt:lpstr>
      <vt:lpstr>'Nyitó kérelem összesítő'!Nyomtatási_terület</vt:lpstr>
      <vt:lpstr>'Szakmajegyzék 2021.I.1-'!Nyomtatási_terület</vt:lpstr>
      <vt:lpstr>'Záró elszámolás összesítő'!Nyomtatási_terület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2021-11-25T12:40:33Z</dcterms:modified>
</cp:coreProperties>
</file>